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62" activeTab="1"/>
  </bookViews>
  <sheets>
    <sheet name="雁山区一般公共预算2022年收入预算(草案）" sheetId="1" r:id="rId1"/>
    <sheet name="雁山区一般公共预算2022年支出预算（草案）" sheetId="2" r:id="rId2"/>
    <sheet name="雁山区政府性基金预算2022年收入预算（草案）" sheetId="3" r:id="rId3"/>
    <sheet name="  雁山区政府性基金预算2022年支出预算（草案）" sheetId="4" r:id="rId4"/>
    <sheet name="雁山区2022年社会保险基金收入预算表（草案）" sheetId="5" r:id="rId5"/>
    <sheet name="雁山区2022年社会保险基金支出预算表（草案）" sheetId="6" r:id="rId6"/>
  </sheets>
  <externalReferences>
    <externalReference r:id="rId7"/>
    <externalReference r:id="rId8"/>
  </externalReferences>
  <definedNames>
    <definedName name="_xlnm._FilterDatabase" localSheetId="1" hidden="1">'雁山区一般公共预算2022年支出预算（草案）'!$A$6:$N$761</definedName>
    <definedName name="_xlnm.Print_Titles" localSheetId="0">'雁山区一般公共预算2022年收入预算(草案）'!$2:$6</definedName>
    <definedName name="_xlnm.Print_Titles" localSheetId="1">'雁山区一般公共预算2022年支出预算（草案）'!$2:$6</definedName>
    <definedName name="_xlnm.Print_Area" localSheetId="3">'  雁山区政府性基金预算2022年支出预算（草案）'!$A:$K</definedName>
    <definedName name="_xlnm.Print_Titles" localSheetId="3">'  雁山区政府性基金预算2022年支出预算（草案）'!$2:$6</definedName>
  </definedNames>
  <calcPr calcId="144525"/>
</workbook>
</file>

<file path=xl/comments1.xml><?xml version="1.0" encoding="utf-8"?>
<comments xmlns="http://schemas.openxmlformats.org/spreadsheetml/2006/main">
  <authors>
    <author>李欢</author>
  </authors>
  <commentList>
    <comment ref="C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01</t>
        </r>
      </text>
    </comment>
    <comment ref="C1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02</t>
        </r>
      </text>
    </comment>
    <comment ref="C2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03</t>
        </r>
      </text>
    </comment>
    <comment ref="C3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04</t>
        </r>
      </text>
    </comment>
    <comment ref="C3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05</t>
        </r>
      </text>
    </comment>
    <comment ref="C4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06</t>
        </r>
      </text>
    </comment>
    <comment ref="C5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07</t>
        </r>
      </text>
    </comment>
    <comment ref="C6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08</t>
        </r>
      </text>
    </comment>
    <comment ref="C6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20109</t>
        </r>
      </text>
    </comment>
    <comment ref="C7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10</t>
        </r>
      </text>
    </comment>
    <comment ref="C7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11</t>
        </r>
      </text>
    </comment>
    <comment ref="C8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13</t>
        </r>
      </text>
    </comment>
    <comment ref="C8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14</t>
        </r>
      </text>
    </comment>
    <comment ref="C8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23</t>
        </r>
      </text>
    </comment>
    <comment ref="C9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
25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修改港澳台侨事务</t>
        </r>
      </text>
    </comment>
    <comment ref="C9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修改港澳台侨事务</t>
        </r>
      </text>
    </comment>
    <comment ref="C9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26</t>
        </r>
        <r>
          <rPr>
            <sz val="9"/>
            <rFont val="宋体"/>
            <charset val="134"/>
          </rPr>
          <t>，无</t>
        </r>
        <r>
          <rPr>
            <sz val="9"/>
            <rFont val="Tahoma"/>
            <charset val="134"/>
          </rPr>
          <t>27</t>
        </r>
      </text>
    </comment>
    <comment ref="C9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28</t>
        </r>
      </text>
    </comment>
    <comment ref="C10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29</t>
        </r>
        <r>
          <rPr>
            <sz val="9"/>
            <rFont val="宋体"/>
            <charset val="134"/>
          </rPr>
          <t>，无</t>
        </r>
        <r>
          <rPr>
            <sz val="9"/>
            <rFont val="Tahoma"/>
            <charset val="134"/>
          </rPr>
          <t>30</t>
        </r>
      </text>
    </comment>
    <comment ref="C10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31</t>
        </r>
      </text>
    </comment>
    <comment ref="C11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32</t>
        </r>
      </text>
    </comment>
    <comment ref="C11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33</t>
        </r>
      </text>
    </comment>
    <comment ref="C12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34</t>
        </r>
      </text>
    </comment>
    <comment ref="C13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35</t>
        </r>
      </text>
    </comment>
    <comment ref="C13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36</t>
        </r>
      </text>
    </comment>
    <comment ref="C13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37</t>
        </r>
      </text>
    </comment>
    <comment ref="C13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38</t>
        </r>
      </text>
    </comment>
    <comment ref="C14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20199</t>
        </r>
      </text>
    </comment>
    <comment ref="C16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将内卫修改为武装警察部队</t>
        </r>
      </text>
    </comment>
    <comment ref="C16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20402</t>
        </r>
      </text>
    </comment>
    <comment ref="C16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20403</t>
        </r>
      </text>
    </comment>
    <comment ref="C17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20405</t>
        </r>
      </text>
    </comment>
    <comment ref="C18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20406</t>
        </r>
      </text>
    </comment>
    <comment ref="C19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20407</t>
        </r>
      </text>
    </comment>
    <comment ref="C19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20409</t>
        </r>
      </text>
    </comment>
    <comment ref="C19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20410</t>
        </r>
      </text>
    </comment>
    <comment ref="C19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20499</t>
        </r>
      </text>
    </comment>
    <comment ref="C19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20499</t>
        </r>
      </text>
    </comment>
    <comment ref="C20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</t>
        </r>
      </text>
    </comment>
    <comment ref="C20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20501</t>
        </r>
      </text>
    </comment>
    <comment ref="C20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20502</t>
        </r>
      </text>
    </comment>
    <comment ref="C21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20503</t>
        </r>
      </text>
    </comment>
    <comment ref="C21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20504</t>
        </r>
      </text>
    </comment>
    <comment ref="C21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26</t>
        </r>
        <r>
          <rPr>
            <sz val="9"/>
            <rFont val="宋体"/>
            <charset val="134"/>
          </rPr>
          <t>，无</t>
        </r>
        <r>
          <rPr>
            <sz val="9"/>
            <rFont val="Tahoma"/>
            <charset val="134"/>
          </rPr>
          <t>27</t>
        </r>
      </text>
    </comment>
    <comment ref="C23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20599</t>
        </r>
      </text>
    </comment>
    <comment ref="C38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21006</t>
        </r>
      </text>
    </comment>
    <comment ref="C38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21007</t>
        </r>
      </text>
    </comment>
    <comment ref="C39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21011</t>
        </r>
      </text>
    </comment>
    <comment ref="C39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21012</t>
        </r>
      </text>
    </comment>
    <comment ref="C40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21013</t>
        </r>
      </text>
    </comment>
    <comment ref="C40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21014</t>
        </r>
      </text>
    </comment>
    <comment ref="C40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21015</t>
        </r>
      </text>
    </comment>
    <comment ref="C44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212</t>
        </r>
      </text>
    </comment>
    <comment ref="C44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21201</t>
        </r>
      </text>
    </comment>
    <comment ref="C46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</t>
        </r>
      </text>
    </comment>
    <comment ref="C46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21301</t>
        </r>
      </text>
    </comment>
    <comment ref="C48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21302</t>
        </r>
      </text>
    </comment>
    <comment ref="C49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2130299</t>
        </r>
      </text>
    </comment>
    <comment ref="C52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21307</t>
        </r>
      </text>
    </comment>
    <comment ref="C52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21308</t>
        </r>
      </text>
    </comment>
    <comment ref="C57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21599</t>
        </r>
      </text>
    </comment>
    <comment ref="C57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216</t>
        </r>
      </text>
    </comment>
    <comment ref="C60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220</t>
        </r>
      </text>
    </comment>
    <comment ref="C61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22005</t>
        </r>
      </text>
    </comment>
    <comment ref="C61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221</t>
        </r>
      </text>
    </comment>
    <comment ref="C61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22102</t>
        </r>
      </text>
    </comment>
    <comment ref="C61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22103</t>
        </r>
      </text>
    </comment>
    <comment ref="C62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</t>
        </r>
      </text>
    </comment>
    <comment ref="C62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22201</t>
        </r>
      </text>
    </comment>
    <comment ref="C62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22202</t>
        </r>
      </text>
    </comment>
    <comment ref="C62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22203</t>
        </r>
      </text>
    </comment>
    <comment ref="C62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22204</t>
        </r>
      </text>
    </comment>
    <comment ref="C62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22205</t>
        </r>
      </text>
    </comment>
    <comment ref="C63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22401</t>
        </r>
      </text>
    </comment>
    <comment ref="C64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22402</t>
        </r>
      </text>
    </comment>
    <comment ref="C64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22403</t>
        </r>
      </text>
    </comment>
    <comment ref="C64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22403</t>
        </r>
      </text>
    </comment>
    <comment ref="C64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22404</t>
        </r>
      </text>
    </comment>
    <comment ref="C65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22405</t>
        </r>
      </text>
    </comment>
    <comment ref="C65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22406</t>
        </r>
      </text>
    </comment>
    <comment ref="C65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22407</t>
        </r>
      </text>
    </comment>
  </commentList>
</comments>
</file>

<file path=xl/sharedStrings.xml><?xml version="1.0" encoding="utf-8"?>
<sst xmlns="http://schemas.openxmlformats.org/spreadsheetml/2006/main" count="1928" uniqueCount="1012">
  <si>
    <t>附表1</t>
  </si>
  <si>
    <t>雁山区一般公共预算2022年收入预算(草案）</t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</si>
  <si>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</si>
  <si>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</si>
  <si>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t>2021年</t>
  </si>
  <si>
    <t>2022年预算</t>
  </si>
  <si>
    <t>备注</t>
  </si>
  <si>
    <t>预算数</t>
  </si>
  <si>
    <t>执行数</t>
  </si>
  <si>
    <r>
      <rPr>
        <b/>
        <sz val="11"/>
        <rFont val="宋体"/>
        <charset val="134"/>
      </rPr>
      <t>完成预算</t>
    </r>
    <r>
      <rPr>
        <b/>
        <sz val="11"/>
        <rFont val="Times New Roman"/>
        <charset val="0"/>
      </rPr>
      <t>%</t>
    </r>
  </si>
  <si>
    <t>2020年决算数</t>
  </si>
  <si>
    <t>比上年完成数增减</t>
  </si>
  <si>
    <t>建议数</t>
  </si>
  <si>
    <t>比2021年执行数增减</t>
  </si>
  <si>
    <t>金额</t>
  </si>
  <si>
    <t>%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</si>
  <si>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</si>
  <si>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</si>
  <si>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</si>
  <si>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</si>
  <si>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</si>
  <si>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</si>
  <si>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</si>
  <si>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</si>
  <si>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</si>
  <si>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</si>
  <si>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</si>
  <si>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</si>
  <si>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</si>
  <si>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</si>
  <si>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</si>
  <si>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</si>
  <si>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</si>
  <si>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</si>
  <si>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</si>
  <si>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</si>
  <si>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</si>
  <si>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</si>
  <si>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1. 专项收入</t>
  </si>
  <si>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其中：教育费附加</t>
    </r>
  </si>
  <si>
    <t xml:space="preserve">      地方教育附加收入</t>
  </si>
  <si>
    <t xml:space="preserve">      文化事业建设费收入</t>
  </si>
  <si>
    <t xml:space="preserve">      残疾人就业保障金收入</t>
  </si>
  <si>
    <t xml:space="preserve">      教育资金收入</t>
  </si>
  <si>
    <t xml:space="preserve">      农田水利建设资金收入</t>
  </si>
  <si>
    <t xml:space="preserve">      森林植被恢复费</t>
  </si>
  <si>
    <t xml:space="preserve">      水利建设专项收入</t>
  </si>
  <si>
    <r>
      <rPr>
        <sz val="11"/>
        <rFont val="Times New Roman"/>
        <charset val="0"/>
      </rPr>
      <t xml:space="preserve">            </t>
    </r>
    <r>
      <rPr>
        <sz val="11"/>
        <rFont val="宋体"/>
        <charset val="134"/>
      </rPr>
      <t>其他专项收入</t>
    </r>
  </si>
  <si>
    <t xml:space="preserve">   2. 行政事业性收费收入</t>
  </si>
  <si>
    <t xml:space="preserve">   3. 罚没收入</t>
  </si>
  <si>
    <t xml:space="preserve">   4. 国有资本经营收入</t>
  </si>
  <si>
    <t xml:space="preserve">   5.国有资源（资产）有偿使用收入</t>
  </si>
  <si>
    <t xml:space="preserve">   6.捐赠收入</t>
  </si>
  <si>
    <t xml:space="preserve">   7.政府住房基金收入</t>
  </si>
  <si>
    <t xml:space="preserve">   8. 其他收入</t>
  </si>
  <si>
    <t>一般公共预算收入小计</t>
  </si>
  <si>
    <t>转移性收入</t>
  </si>
  <si>
    <t>（一）上级补助收入</t>
  </si>
  <si>
    <t xml:space="preserve"> 1.返还性收入</t>
  </si>
  <si>
    <t xml:space="preserve"> （1）所得税基数返还收入</t>
  </si>
  <si>
    <t xml:space="preserve"> （2）成品油税费改革税收返还收入</t>
  </si>
  <si>
    <t xml:space="preserve"> （3）增值税税收返还收入 </t>
  </si>
  <si>
    <t xml:space="preserve"> （4）消费税税收返还收入</t>
  </si>
  <si>
    <t xml:space="preserve"> （5）增值税“五五分享”税收返还收入</t>
  </si>
  <si>
    <t xml:space="preserve"> （6） 其他税收返还收入</t>
  </si>
  <si>
    <t xml:space="preserve"> 2.一般性转移支付收入</t>
  </si>
  <si>
    <t xml:space="preserve"> （1）体制补助收入</t>
  </si>
  <si>
    <t xml:space="preserve"> （2）均衡性转移支付收入</t>
  </si>
  <si>
    <t xml:space="preserve"> （3）县级基本财力保障机制奖补资金收入</t>
  </si>
  <si>
    <t xml:space="preserve"> （4）结算补助收入</t>
  </si>
  <si>
    <t xml:space="preserve"> （5）资源枯竭型城市转移支付补助收入</t>
  </si>
  <si>
    <t xml:space="preserve"> （6）企业事业单位划转补助收入</t>
  </si>
  <si>
    <t xml:space="preserve"> （7）产粮（油）大县奖励资金收入</t>
  </si>
  <si>
    <t xml:space="preserve"> （8）重点生态功能区转移支付收入</t>
  </si>
  <si>
    <t xml:space="preserve"> （9）固定数额补助收入</t>
  </si>
  <si>
    <t xml:space="preserve"> （10）革命老区转移支付收入</t>
  </si>
  <si>
    <t xml:space="preserve">  (11) 民族地区转移支付收入</t>
  </si>
  <si>
    <t xml:space="preserve">  (12) 边境地区转移支付收入</t>
  </si>
  <si>
    <t xml:space="preserve"> （13）欠发达地区转移支付收入</t>
  </si>
  <si>
    <t xml:space="preserve">  (14) 一般公共服务共同财政事权转移支付收入</t>
  </si>
  <si>
    <t xml:space="preserve">  (15) 外交共同财政事权转移支付收入</t>
  </si>
  <si>
    <t xml:space="preserve">  (16) 国防共同财政事权转移支付收入</t>
  </si>
  <si>
    <t xml:space="preserve"> （17）公共安全共同财政事权转移支付收入</t>
  </si>
  <si>
    <t xml:space="preserve"> （18）教育共同财政事权转移支付收入</t>
  </si>
  <si>
    <t xml:space="preserve"> （19）科学技术共同财政事权转移支付收入</t>
  </si>
  <si>
    <t xml:space="preserve"> （20）文化旅游体育与传媒共同财政事权转移支付收入</t>
  </si>
  <si>
    <t xml:space="preserve">  (21) 社会保障和就业共同财政事权转移支付收入</t>
  </si>
  <si>
    <t xml:space="preserve"> （22）医疗卫生健康共同财政事权转移支付收入</t>
  </si>
  <si>
    <t xml:space="preserve"> （23）节能环保共同财政事权转移支付收入</t>
  </si>
  <si>
    <t xml:space="preserve"> （24）城乡社区共同财政事权转移支付收入</t>
  </si>
  <si>
    <t xml:space="preserve"> （25）农林水共同财政事权转移支付收入</t>
  </si>
  <si>
    <t xml:space="preserve"> （26）交通运输共同财政事权转移支付收入</t>
  </si>
  <si>
    <t xml:space="preserve"> （27）资源勘探工业信息等共同财政事权转移支付收入</t>
  </si>
  <si>
    <t xml:space="preserve"> （28）商业服务业等共同财政事权转移支付收入</t>
  </si>
  <si>
    <t xml:space="preserve"> （29）金融共同财政事权转移支付收入</t>
  </si>
  <si>
    <t xml:space="preserve"> （30）自然资源海洋气象等服务业等共同财政事权转移支付收入</t>
  </si>
  <si>
    <t xml:space="preserve">  (31) 住房保障共同财政事权转移支付收入</t>
  </si>
  <si>
    <t xml:space="preserve">  (32)粮油物资储备共同财政事权转移支付收入</t>
  </si>
  <si>
    <t xml:space="preserve">  (33) 灾害防治及应急管理共同财政事权转移支付收入</t>
  </si>
  <si>
    <t xml:space="preserve"> （34）其他共同财政事权转移支付收入</t>
  </si>
  <si>
    <t xml:space="preserve"> （35）成品油税费改革转移支付补助收入</t>
  </si>
  <si>
    <t xml:space="preserve"> （36）基层公检法司转移支付收入</t>
  </si>
  <si>
    <t xml:space="preserve"> （37）城乡义务教育转移支付收入</t>
  </si>
  <si>
    <t xml:space="preserve"> （38）基本养老金转移支付收入</t>
  </si>
  <si>
    <t xml:space="preserve"> （39）城乡居民基本医疗保险转移支付收入</t>
  </si>
  <si>
    <t xml:space="preserve"> （40）农村综合改革转移支付收入</t>
  </si>
  <si>
    <t xml:space="preserve"> （41）其他一般性转移支付收入</t>
  </si>
  <si>
    <t xml:space="preserve"> 3.专项转移支付收入</t>
  </si>
  <si>
    <t xml:space="preserve"> （1）一般公共服务</t>
  </si>
  <si>
    <t xml:space="preserve"> （2）外交</t>
  </si>
  <si>
    <t xml:space="preserve"> （3）国防</t>
  </si>
  <si>
    <t xml:space="preserve"> （4）公共安全</t>
  </si>
  <si>
    <t xml:space="preserve"> （5）教育</t>
  </si>
  <si>
    <t xml:space="preserve"> （6）科学技术</t>
  </si>
  <si>
    <t xml:space="preserve"> （7）文化旅游体育与传媒</t>
  </si>
  <si>
    <t xml:space="preserve"> （8）社会保障和就业</t>
  </si>
  <si>
    <t xml:space="preserve"> （9）卫生健康</t>
  </si>
  <si>
    <t xml:space="preserve"> （10）节能环保</t>
  </si>
  <si>
    <t xml:space="preserve"> （11）城乡社区</t>
  </si>
  <si>
    <t xml:space="preserve"> （12）农林水</t>
  </si>
  <si>
    <t xml:space="preserve"> （13）交通运输</t>
  </si>
  <si>
    <t xml:space="preserve"> （14）资源勘探工业信息等</t>
  </si>
  <si>
    <t xml:space="preserve"> （15）商业服务业等</t>
  </si>
  <si>
    <t xml:space="preserve"> （16）金融</t>
  </si>
  <si>
    <t xml:space="preserve"> （17）自然资源海洋气象等</t>
  </si>
  <si>
    <t xml:space="preserve"> （18）住房保障</t>
  </si>
  <si>
    <t xml:space="preserve"> （19）粮油物资储备</t>
  </si>
  <si>
    <t xml:space="preserve"> （20）灾害防治及应急管理</t>
  </si>
  <si>
    <t xml:space="preserve"> （21）其他收入</t>
  </si>
  <si>
    <t>（二）下级上解收入</t>
  </si>
  <si>
    <t xml:space="preserve">  1.体制上解收入</t>
  </si>
  <si>
    <t xml:space="preserve">  2.专项上解收入</t>
  </si>
  <si>
    <t>（三）上年结余收入</t>
  </si>
  <si>
    <t xml:space="preserve">  1.上年结转</t>
  </si>
  <si>
    <t xml:space="preserve">  2. 净结余</t>
  </si>
  <si>
    <t>（四）调入资金</t>
  </si>
  <si>
    <t>（五）地方政府一般债务转贷收入</t>
  </si>
  <si>
    <t>（六）接受其他地区援助收入</t>
  </si>
  <si>
    <t>（七）调入预算稳定调节基金</t>
  </si>
  <si>
    <t>收入总计</t>
  </si>
  <si>
    <t>附表2</t>
  </si>
  <si>
    <t>雁山区一般公共预算2022年支出预算（草案）</t>
  </si>
  <si>
    <t>科目类别</t>
  </si>
  <si>
    <t>科目代码</t>
  </si>
  <si>
    <t>功能分类</t>
  </si>
  <si>
    <t>2021年预算</t>
  </si>
  <si>
    <t>年初      预算</t>
  </si>
  <si>
    <t>调整    预算</t>
  </si>
  <si>
    <r>
      <rPr>
        <b/>
        <sz val="11"/>
        <rFont val="宋体"/>
        <charset val="134"/>
      </rPr>
      <t>完成调整预算</t>
    </r>
    <r>
      <rPr>
        <b/>
        <sz val="11"/>
        <rFont val="Times New Roman"/>
        <charset val="0"/>
      </rPr>
      <t>(%)</t>
    </r>
  </si>
  <si>
    <t>比上年完成数      增减</t>
  </si>
  <si>
    <t>比2021年年初           预算数增减</t>
  </si>
  <si>
    <t>类</t>
  </si>
  <si>
    <t>一、一般公共服务</t>
  </si>
  <si>
    <t>款</t>
  </si>
  <si>
    <t xml:space="preserve">    人大事务</t>
  </si>
  <si>
    <t>项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</si>
  <si>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</si>
  <si>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</si>
  <si>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</si>
  <si>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</si>
  <si>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</si>
  <si>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</si>
  <si>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</si>
  <si>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</si>
  <si>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其他人大事务支出</t>
  </si>
  <si>
    <t xml:space="preserve">    政协事务</t>
  </si>
  <si>
    <t xml:space="preserve">      政协会议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</si>
  <si>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</si>
  <si>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</si>
  <si>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</si>
  <si>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专项业务活动</t>
  </si>
  <si>
    <t xml:space="preserve">      信访事务</t>
  </si>
  <si>
    <t xml:space="preserve">      事业运行</t>
  </si>
  <si>
    <t xml:space="preserve">      其他政府办公厅（室）及相关机构事务支出</t>
  </si>
  <si>
    <t xml:space="preserve">    发展与改革事务</t>
  </si>
  <si>
    <t xml:space="preserve">      社会事业发展规划</t>
  </si>
  <si>
    <t xml:space="preserve">      经济体制改革研究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</si>
  <si>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</si>
  <si>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</si>
  <si>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</si>
  <si>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</si>
  <si>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</si>
  <si>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</si>
  <si>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</si>
  <si>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</si>
  <si>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</si>
  <si>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</si>
  <si>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</si>
  <si>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</si>
  <si>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</si>
  <si>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</si>
  <si>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</si>
  <si>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税务宣传</t>
  </si>
  <si>
    <t xml:space="preserve">      协税护税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</si>
  <si>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</si>
  <si>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</si>
  <si>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</si>
  <si>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</si>
  <si>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其他审计事务支出</t>
  </si>
  <si>
    <t xml:space="preserve">    海关事务</t>
  </si>
  <si>
    <t xml:space="preserve">      其他海关事务支出</t>
  </si>
  <si>
    <t xml:space="preserve">    人力资源事务</t>
  </si>
  <si>
    <t xml:space="preserve">      政府特殊津贴</t>
  </si>
  <si>
    <t xml:space="preserve">      其他人力资源事务支出</t>
  </si>
  <si>
    <t xml:space="preserve">    纪检监察事务</t>
  </si>
  <si>
    <t xml:space="preserve">      派驻派出机构</t>
  </si>
  <si>
    <t xml:space="preserve">      其他纪检监察事务支出</t>
  </si>
  <si>
    <t xml:space="preserve">    商贸事务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</si>
  <si>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</si>
  <si>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</si>
  <si>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</si>
  <si>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</si>
  <si>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民族事务</t>
  </si>
  <si>
    <t xml:space="preserve">      其他民族事务支出</t>
  </si>
  <si>
    <t xml:space="preserve">    港澳台事务</t>
  </si>
  <si>
    <t xml:space="preserve">      其他港澳台事务支出</t>
  </si>
  <si>
    <t xml:space="preserve">    档案事务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</si>
  <si>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</si>
  <si>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</si>
  <si>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</si>
  <si>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</si>
  <si>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</si>
  <si>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</si>
  <si>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</si>
  <si>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</si>
  <si>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</si>
  <si>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</si>
  <si>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</si>
  <si>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</si>
  <si>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</si>
  <si>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</si>
  <si>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</si>
  <si>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</si>
  <si>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</si>
  <si>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</si>
  <si>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</si>
  <si>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</si>
  <si>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</si>
  <si>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</si>
  <si>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</si>
  <si>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</si>
  <si>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</si>
  <si>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</si>
  <si>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</si>
  <si>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</si>
  <si>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</si>
  <si>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</si>
  <si>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</si>
  <si>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</si>
  <si>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</si>
  <si>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</si>
  <si>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</si>
  <si>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交通战备</t>
  </si>
  <si>
    <t xml:space="preserve">      国防教育</t>
  </si>
  <si>
    <t xml:space="preserve">      民兵</t>
  </si>
  <si>
    <t xml:space="preserve">      其他国防动员支出</t>
  </si>
  <si>
    <t xml:space="preserve">    其他国防支出</t>
  </si>
  <si>
    <t xml:space="preserve">      其他国防支出</t>
  </si>
  <si>
    <t>四、公共安全支出</t>
  </si>
  <si>
    <t xml:space="preserve">    武装警察部队</t>
  </si>
  <si>
    <t xml:space="preserve">      武装警察部队</t>
  </si>
  <si>
    <t xml:space="preserve">    公安</t>
  </si>
  <si>
    <t xml:space="preserve">      执法办案</t>
  </si>
  <si>
    <t xml:space="preserve">      其他公安支出</t>
  </si>
  <si>
    <t xml:space="preserve">    国家安全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</si>
  <si>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</si>
  <si>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</si>
  <si>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</si>
  <si>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</si>
  <si>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</si>
  <si>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</si>
  <si>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</si>
  <si>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</si>
  <si>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</si>
  <si>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</si>
  <si>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</si>
  <si>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</si>
  <si>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公共法律服务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</si>
  <si>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</si>
  <si>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</si>
  <si>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</si>
  <si>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</si>
  <si>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其他监狱支出</t>
  </si>
  <si>
    <t xml:space="preserve">    强制隔离戒毒</t>
  </si>
  <si>
    <t xml:space="preserve">      其他强制隔离戒毒支出</t>
  </si>
  <si>
    <t xml:space="preserve">    国家保密</t>
  </si>
  <si>
    <t xml:space="preserve">      其他国家保密支出</t>
  </si>
  <si>
    <t xml:space="preserve">    缉私警察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</si>
  <si>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</si>
  <si>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</si>
  <si>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</si>
  <si>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</si>
  <si>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</si>
  <si>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</si>
  <si>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</si>
  <si>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</si>
  <si>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</si>
  <si>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</si>
  <si>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</si>
  <si>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</si>
  <si>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</si>
  <si>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</si>
  <si>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其他职业教育支出</t>
  </si>
  <si>
    <t xml:space="preserve">    成人教育</t>
  </si>
  <si>
    <t xml:space="preserve">      其他成人教育支出</t>
  </si>
  <si>
    <t xml:space="preserve">    广播电视教育</t>
  </si>
  <si>
    <t xml:space="preserve">      其他广播电视教育支出</t>
  </si>
  <si>
    <t xml:space="preserve">    留学教育</t>
  </si>
  <si>
    <t xml:space="preserve">      其他留学教育支出</t>
  </si>
  <si>
    <t xml:space="preserve">    特殊教育</t>
  </si>
  <si>
    <t xml:space="preserve">      其他特殊教育支出</t>
  </si>
  <si>
    <t xml:space="preserve">    进修及培训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</si>
  <si>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</si>
  <si>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</si>
  <si>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</si>
  <si>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农村中小学教学建设</t>
  </si>
  <si>
    <t xml:space="preserve">      中等职业学校教学设备</t>
  </si>
  <si>
    <t xml:space="preserve">      其他教育费附加安排的支出</t>
  </si>
  <si>
    <t xml:space="preserve">    其他教育支出</t>
  </si>
  <si>
    <t xml:space="preserve">  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</si>
  <si>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</si>
  <si>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</si>
  <si>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</si>
  <si>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</si>
  <si>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其他基础研究支出</t>
  </si>
  <si>
    <t xml:space="preserve">    应用研究</t>
  </si>
  <si>
    <t xml:space="preserve">      其他应用研究支出</t>
  </si>
  <si>
    <t xml:space="preserve">    技术研究与开发</t>
  </si>
  <si>
    <t xml:space="preserve">      其他技术研究与开发支出</t>
  </si>
  <si>
    <t xml:space="preserve">    科技条件与服务</t>
  </si>
  <si>
    <t xml:space="preserve">      其他科技条件与服务支出</t>
  </si>
  <si>
    <t xml:space="preserve">    社会科学</t>
  </si>
  <si>
    <t xml:space="preserve">      其他社会科学支出</t>
  </si>
  <si>
    <t xml:space="preserve">    科学技术普及</t>
  </si>
  <si>
    <t xml:space="preserve">      机构运行</t>
  </si>
  <si>
    <t xml:space="preserve">      科普活动</t>
  </si>
  <si>
    <t xml:space="preserve">      其他科学技术普及支出</t>
  </si>
  <si>
    <t xml:space="preserve">    科技交流与合作</t>
  </si>
  <si>
    <t xml:space="preserve">      其他科技交流与合作支出</t>
  </si>
  <si>
    <t xml:space="preserve">    科技重大项目</t>
  </si>
  <si>
    <t xml:space="preserve">      其他科技重大项目</t>
  </si>
  <si>
    <t xml:space="preserve">    其他科学技术支出</t>
  </si>
  <si>
    <t xml:space="preserve">      科学奖励</t>
  </si>
  <si>
    <t xml:space="preserve">      其他科学技术支出</t>
  </si>
  <si>
    <t>七、文化旅游体育与传媒支出</t>
  </si>
  <si>
    <t xml:space="preserve">    文化和旅游</t>
  </si>
  <si>
    <t xml:space="preserve">      文化活动</t>
  </si>
  <si>
    <t xml:space="preserve">      群众文化</t>
  </si>
  <si>
    <t xml:space="preserve">      文化和旅游市场管理</t>
  </si>
  <si>
    <t xml:space="preserve">      旅游宣传</t>
  </si>
  <si>
    <t xml:space="preserve">      其他文化和旅游支出</t>
  </si>
  <si>
    <t xml:space="preserve">    文物</t>
  </si>
  <si>
    <t xml:space="preserve">      其他文物支出</t>
  </si>
  <si>
    <t xml:space="preserve">    体育</t>
  </si>
  <si>
    <t xml:space="preserve">      群众体育</t>
  </si>
  <si>
    <t xml:space="preserve">      其他体育支出</t>
  </si>
  <si>
    <t xml:space="preserve">    新闻出版电影</t>
  </si>
  <si>
    <t xml:space="preserve">      其他新闻出版电影支出</t>
  </si>
  <si>
    <t xml:space="preserve">    广播电视</t>
  </si>
  <si>
    <t xml:space="preserve">      广播</t>
  </si>
  <si>
    <t xml:space="preserve">      其他广播电视支出</t>
  </si>
  <si>
    <t xml:space="preserve">    其他文化旅游体育与传媒支出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</si>
  <si>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</si>
  <si>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</si>
  <si>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</si>
  <si>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</si>
  <si>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</si>
  <si>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</si>
  <si>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</si>
  <si>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</si>
  <si>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</si>
  <si>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</si>
  <si>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</si>
  <si>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</si>
  <si>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</si>
  <si>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</si>
  <si>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</si>
  <si>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</si>
  <si>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</si>
  <si>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</si>
  <si>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</si>
  <si>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</si>
  <si>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</si>
  <si>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</si>
  <si>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</si>
  <si>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</si>
  <si>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</si>
  <si>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其他企业改革发展补助</t>
  </si>
  <si>
    <t xml:space="preserve">    就业补助</t>
  </si>
  <si>
    <t xml:space="preserve">      公益性岗位补贴</t>
  </si>
  <si>
    <t xml:space="preserve">      其他就业补助支出</t>
  </si>
  <si>
    <t xml:space="preserve">    抚恤</t>
  </si>
  <si>
    <t xml:space="preserve">      死亡抚恤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</si>
  <si>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</si>
  <si>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</si>
  <si>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</si>
  <si>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其他优抚支出</t>
  </si>
  <si>
    <t xml:space="preserve">    退役安置</t>
  </si>
  <si>
    <t xml:space="preserve">      退役士兵安置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</si>
  <si>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</si>
  <si>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</si>
  <si>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</si>
  <si>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</si>
  <si>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</si>
  <si>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</si>
  <si>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</si>
  <si>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</si>
  <si>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</si>
  <si>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</si>
  <si>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</si>
  <si>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</si>
  <si>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</si>
  <si>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</si>
  <si>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</si>
  <si>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</si>
  <si>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</si>
  <si>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</si>
  <si>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</si>
  <si>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</si>
  <si>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</si>
  <si>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</si>
  <si>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</si>
  <si>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</si>
  <si>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</si>
  <si>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</si>
  <si>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</si>
  <si>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</si>
  <si>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</si>
  <si>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</si>
  <si>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</si>
  <si>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</si>
  <si>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</si>
  <si>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</si>
  <si>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</si>
  <si>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</si>
  <si>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</si>
  <si>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</si>
  <si>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其他退役军人事务管理支出</t>
  </si>
  <si>
    <t xml:space="preserve">    财政代缴社会保险支出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</si>
  <si>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</si>
  <si>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</si>
  <si>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</si>
  <si>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</si>
  <si>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</si>
  <si>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</si>
  <si>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</si>
  <si>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</si>
  <si>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</si>
  <si>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</si>
  <si>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</si>
  <si>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</si>
  <si>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</si>
  <si>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</si>
  <si>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</si>
  <si>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</si>
  <si>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采供血机构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</si>
  <si>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</si>
  <si>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</si>
  <si>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</si>
  <si>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</si>
  <si>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</si>
  <si>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</si>
  <si>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</si>
  <si>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</si>
  <si>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</si>
  <si>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</si>
  <si>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</si>
  <si>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</si>
  <si>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</si>
  <si>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</si>
  <si>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</si>
  <si>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</si>
  <si>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</si>
  <si>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</si>
  <si>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</si>
  <si>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</si>
  <si>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</si>
  <si>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</si>
  <si>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</si>
  <si>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</si>
  <si>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</si>
  <si>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</si>
  <si>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</si>
  <si>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</si>
  <si>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</si>
  <si>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</si>
  <si>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</si>
  <si>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</si>
  <si>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</si>
  <si>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其他环境保护管理事务支出</t>
  </si>
  <si>
    <t xml:space="preserve">    环境监测与监察</t>
  </si>
  <si>
    <t xml:space="preserve">      其他环境监测与监察支出</t>
  </si>
  <si>
    <t xml:space="preserve">    污染防治</t>
  </si>
  <si>
    <t xml:space="preserve">      水体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</si>
  <si>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</si>
  <si>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</si>
  <si>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</si>
  <si>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</si>
  <si>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其他自然生态保护支出</t>
  </si>
  <si>
    <t xml:space="preserve">    天然林保护</t>
  </si>
  <si>
    <t xml:space="preserve">      其他天然林保护支出</t>
  </si>
  <si>
    <t xml:space="preserve">    退耕还林还草</t>
  </si>
  <si>
    <t xml:space="preserve">      其他退耕还林还草支出</t>
  </si>
  <si>
    <t xml:space="preserve">    风沙荒漠治理</t>
  </si>
  <si>
    <t xml:space="preserve">      其他风沙荒漠治理支出</t>
  </si>
  <si>
    <t xml:space="preserve">    退牧还草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</si>
  <si>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</si>
  <si>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</si>
  <si>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</si>
  <si>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</si>
  <si>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减排专项支出</t>
  </si>
  <si>
    <t xml:space="preserve">    可再生能源</t>
  </si>
  <si>
    <t xml:space="preserve">    循环经济</t>
  </si>
  <si>
    <t xml:space="preserve">    能源管理事务</t>
  </si>
  <si>
    <t xml:space="preserve">      其他能源管理事务支出</t>
  </si>
  <si>
    <t xml:space="preserve">    其他节能环保支出</t>
  </si>
  <si>
    <t xml:space="preserve">  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</si>
  <si>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</si>
  <si>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</si>
  <si>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</si>
  <si>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</si>
  <si>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</si>
  <si>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</si>
  <si>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其他城乡社区管理事务支出</t>
  </si>
  <si>
    <t xml:space="preserve">      城乡社区规划与管理</t>
  </si>
  <si>
    <t xml:space="preserve">  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</si>
  <si>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</si>
  <si>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</si>
  <si>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</si>
  <si>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</si>
  <si>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  城乡社区环境卫生</t>
  </si>
  <si>
    <t xml:space="preserve">      建设市场管理与监督</t>
  </si>
  <si>
    <t xml:space="preserve">      其他城乡社区支出</t>
  </si>
  <si>
    <t xml:space="preserve">        其他城乡社区支出</t>
  </si>
  <si>
    <t>十二、农林水支出</t>
  </si>
  <si>
    <t xml:space="preserve">      农业农村</t>
  </si>
  <si>
    <t xml:space="preserve">        事业运行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</si>
  <si>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</si>
  <si>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</si>
  <si>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</si>
  <si>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</si>
  <si>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</si>
  <si>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</si>
  <si>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</si>
  <si>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</si>
  <si>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</si>
  <si>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</si>
  <si>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</si>
  <si>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</si>
  <si>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</si>
  <si>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</si>
  <si>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</si>
  <si>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</si>
  <si>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</si>
  <si>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  林业和草原</t>
  </si>
  <si>
    <t xml:space="preserve">        事业机构</t>
  </si>
  <si>
    <t xml:space="preserve">        森林资源培育</t>
  </si>
  <si>
    <t xml:space="preserve">        森林资源管理</t>
  </si>
  <si>
    <t xml:space="preserve">        森林生态效益补偿</t>
  </si>
  <si>
    <t xml:space="preserve">        动植物保护</t>
  </si>
  <si>
    <t xml:space="preserve">        执法与监督</t>
  </si>
  <si>
    <t xml:space="preserve">        林业草原防灾减灾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</si>
  <si>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</si>
  <si>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</si>
  <si>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</si>
  <si>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</si>
  <si>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</si>
  <si>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水利前期工作</t>
  </si>
  <si>
    <t xml:space="preserve">        水资源节约管理与保护</t>
  </si>
  <si>
    <t xml:space="preserve">        防汛</t>
  </si>
  <si>
    <t xml:space="preserve">        抗旱</t>
  </si>
  <si>
    <t xml:space="preserve">        农村水利</t>
  </si>
  <si>
    <t xml:space="preserve">        江河湖库水系统综合治理</t>
  </si>
  <si>
    <t xml:space="preserve">        大中型水库移民后期扶持专项支出</t>
  </si>
  <si>
    <t xml:space="preserve">        水利建设征地及移民支出</t>
  </si>
  <si>
    <t xml:space="preserve">        农村人畜饮水</t>
  </si>
  <si>
    <t xml:space="preserve">        其他水利支出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</si>
  <si>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</si>
  <si>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</si>
  <si>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</si>
  <si>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</si>
  <si>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</si>
  <si>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 扶贫事业机构</t>
  </si>
  <si>
    <t xml:space="preserve">        其他扶贫支出</t>
  </si>
  <si>
    <t xml:space="preserve">      农村综合改革</t>
  </si>
  <si>
    <t xml:space="preserve">        对村级一事一议的补助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</si>
  <si>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</si>
  <si>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</si>
  <si>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</si>
  <si>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</si>
  <si>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</si>
  <si>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农业保险保费补贴</t>
  </si>
  <si>
    <t xml:space="preserve">      目标价格补贴</t>
  </si>
  <si>
    <t xml:space="preserve">        其他目标价格补贴</t>
  </si>
  <si>
    <t xml:space="preserve">      其他农林水支出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</si>
  <si>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</si>
  <si>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</si>
  <si>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</si>
  <si>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</si>
  <si>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</si>
  <si>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公路和运输安全</t>
  </si>
  <si>
    <t xml:space="preserve">        公路运输管理</t>
  </si>
  <si>
    <t xml:space="preserve">        其他公路水路运输支出</t>
  </si>
  <si>
    <t xml:space="preserve">      铁路运输</t>
  </si>
  <si>
    <t xml:space="preserve">        其他铁路运输支出</t>
  </si>
  <si>
    <t xml:space="preserve">      民用航空运输</t>
  </si>
  <si>
    <t xml:space="preserve">        其他民用航空运输支出</t>
  </si>
  <si>
    <t xml:space="preserve">      成品油价格改革对交通运输的补贴</t>
  </si>
  <si>
    <t xml:space="preserve">        对农村道路客运的补贴</t>
  </si>
  <si>
    <t xml:space="preserve">        成品油价格改革补贴其他支出</t>
  </si>
  <si>
    <t xml:space="preserve">      邮政业支出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</si>
  <si>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</si>
  <si>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</si>
  <si>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</si>
  <si>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</si>
  <si>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其他交通运输支出</t>
  </si>
  <si>
    <t xml:space="preserve">        其他交通运输支出</t>
  </si>
  <si>
    <t>十四、资源勘探工业信息等支出</t>
  </si>
  <si>
    <t xml:space="preserve">      资源勘探开发</t>
  </si>
  <si>
    <t xml:space="preserve">        其他资源勘探业支出</t>
  </si>
  <si>
    <t xml:space="preserve">      制造业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</si>
  <si>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</si>
  <si>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</si>
  <si>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</si>
  <si>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</si>
  <si>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工业和信息产业支持</t>
  </si>
  <si>
    <t xml:space="preserve">        产业发展</t>
  </si>
  <si>
    <t xml:space="preserve">        其他工业和信息产业监管支出</t>
  </si>
  <si>
    <t xml:space="preserve">      国有资产监管</t>
  </si>
  <si>
    <t xml:space="preserve">        其他国有资产监管支出</t>
  </si>
  <si>
    <t xml:space="preserve">      支持中小企业发展和管理支出</t>
  </si>
  <si>
    <t xml:space="preserve">        其他支持中小企业发展和管理支出</t>
  </si>
  <si>
    <t xml:space="preserve">      其他资源勘探工业信息等支出</t>
  </si>
  <si>
    <t xml:space="preserve">        其他资源勘探工业信息等支出</t>
  </si>
  <si>
    <t>十五、商业服务业等支出</t>
  </si>
  <si>
    <t xml:space="preserve">      商业流通事务</t>
  </si>
  <si>
    <t xml:space="preserve">        其他商业流通事务支出</t>
  </si>
  <si>
    <t xml:space="preserve">      涉外发展服务支出</t>
  </si>
  <si>
    <t xml:space="preserve">        其他涉外发展服务支出</t>
  </si>
  <si>
    <t xml:space="preserve">      其他商业服务业等支出</t>
  </si>
  <si>
    <t xml:space="preserve">        其他商业服务业等支出</t>
  </si>
  <si>
    <t>十六、金融支出</t>
  </si>
  <si>
    <t xml:space="preserve">      金融部门行政支出</t>
  </si>
  <si>
    <t xml:space="preserve">        金融部门其他行政支出</t>
  </si>
  <si>
    <t xml:space="preserve">     金融部门监管支出</t>
  </si>
  <si>
    <t xml:space="preserve">        金融部门其他监管支出</t>
  </si>
  <si>
    <t xml:space="preserve">      金融发展支出</t>
  </si>
  <si>
    <t xml:space="preserve">        利息费用补贴支出</t>
  </si>
  <si>
    <t xml:space="preserve">        其他金融发展支出</t>
  </si>
  <si>
    <t xml:space="preserve">      其他金融支出</t>
  </si>
  <si>
    <t xml:space="preserve">        重点企业贷款贴息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</si>
  <si>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</si>
  <si>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</si>
  <si>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</si>
  <si>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</si>
  <si>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</si>
  <si>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</si>
  <si>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农业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</si>
  <si>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</si>
  <si>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</si>
  <si>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</si>
  <si>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</si>
  <si>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</si>
  <si>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自然资源利用与保护</t>
  </si>
  <si>
    <t xml:space="preserve">        自然资源调查与确权登记</t>
  </si>
  <si>
    <t xml:space="preserve">        土地资源储备支出</t>
  </si>
  <si>
    <t xml:space="preserve">        其他自然资源事务支出</t>
  </si>
  <si>
    <t xml:space="preserve">      气象事务</t>
  </si>
  <si>
    <t xml:space="preserve">        其他气象事务支出</t>
  </si>
  <si>
    <t xml:space="preserve">      其他自然资源海洋气象等支出</t>
  </si>
  <si>
    <t>十九、住房保障支出</t>
  </si>
  <si>
    <t xml:space="preserve">      保障性安居工程支出</t>
  </si>
  <si>
    <t xml:space="preserve">        农村危房改造</t>
  </si>
  <si>
    <t xml:space="preserve">      住房改革支出</t>
  </si>
  <si>
    <t xml:space="preserve">        住房公积金</t>
  </si>
  <si>
    <t xml:space="preserve">      城乡社区住宅</t>
  </si>
  <si>
    <t xml:space="preserve">        其他城乡社区住宅支出</t>
  </si>
  <si>
    <t>二十、粮油物资储备支出</t>
  </si>
  <si>
    <t xml:space="preserve">      粮油事务</t>
  </si>
  <si>
    <t xml:space="preserve">        其他粮油事务支出</t>
  </si>
  <si>
    <t xml:space="preserve">      物资事务</t>
  </si>
  <si>
    <t xml:space="preserve">        其他物资事务支出</t>
  </si>
  <si>
    <t xml:space="preserve">      能源储备</t>
  </si>
  <si>
    <t xml:space="preserve">        其他能源储备支出</t>
  </si>
  <si>
    <t xml:space="preserve">      粮油储备</t>
  </si>
  <si>
    <t xml:space="preserve">        其他粮油储备支出</t>
  </si>
  <si>
    <t xml:space="preserve">      重要商品储备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</si>
  <si>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</si>
  <si>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</si>
  <si>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</si>
  <si>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</si>
  <si>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</si>
  <si>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</si>
  <si>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安全监管</t>
  </si>
  <si>
    <t xml:space="preserve">       安全生产基础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</si>
  <si>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</si>
  <si>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</si>
  <si>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</si>
  <si>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</si>
  <si>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</si>
  <si>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</si>
  <si>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</si>
  <si>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</si>
  <si>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</si>
  <si>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</si>
  <si>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其他煤矿安全支出</t>
  </si>
  <si>
    <t xml:space="preserve">     地震事务</t>
  </si>
  <si>
    <t xml:space="preserve">       其他地震事务支出</t>
  </si>
  <si>
    <t xml:space="preserve">     自然灾害防治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</si>
  <si>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</si>
  <si>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</si>
  <si>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</si>
  <si>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</si>
  <si>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</si>
  <si>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</si>
  <si>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其他自然灾害救灾及恢复重建支出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</si>
  <si>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</si>
  <si>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</si>
  <si>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</si>
  <si>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</si>
  <si>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</si>
  <si>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</si>
  <si>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</si>
  <si>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</si>
  <si>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</si>
  <si>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</si>
  <si>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</si>
  <si>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</si>
  <si>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其中：为民办实事</t>
  </si>
  <si>
    <t xml:space="preserve">          增人增资</t>
  </si>
  <si>
    <t xml:space="preserve">          政府绩效管理支出</t>
  </si>
  <si>
    <t xml:space="preserve">          车改补贴</t>
  </si>
  <si>
    <t xml:space="preserve">          财源建设经费</t>
  </si>
  <si>
    <t xml:space="preserve">          其他预留</t>
  </si>
  <si>
    <t xml:space="preserve">        其他支出</t>
  </si>
  <si>
    <t>项级</t>
  </si>
  <si>
    <t>二十六、上年结转专款支出</t>
  </si>
  <si>
    <t>类级</t>
  </si>
  <si>
    <t>一般公共预算支出小计</t>
  </si>
  <si>
    <t>转移性支出</t>
  </si>
  <si>
    <t>（一）上解上级支出</t>
  </si>
  <si>
    <t>体制上解支出</t>
  </si>
  <si>
    <t>专项上解支出</t>
  </si>
  <si>
    <t>（二）补助下级支出</t>
  </si>
  <si>
    <t>款级</t>
  </si>
  <si>
    <t xml:space="preserve"> 1.返还性支出</t>
  </si>
  <si>
    <t>所得税基数返还支出</t>
  </si>
  <si>
    <t>成品油税费改革税收返还支出</t>
  </si>
  <si>
    <t>增值税税收返还支出</t>
  </si>
  <si>
    <t>消费税税收返还支出</t>
  </si>
  <si>
    <t>增值税“五五分享”税收返还支出</t>
  </si>
  <si>
    <t>其他税收返还支出</t>
  </si>
  <si>
    <t xml:space="preserve"> 2.一般性转移支付</t>
  </si>
  <si>
    <t>体制补助支出</t>
  </si>
  <si>
    <t>均衡性转移支付支出</t>
  </si>
  <si>
    <t>县级基本财力保障机制奖补资金支出</t>
  </si>
  <si>
    <t>结算补助支出</t>
  </si>
  <si>
    <t>资源枯竭型城市转移支付补助支出</t>
  </si>
  <si>
    <t>企业事业单位划转补助支出</t>
  </si>
  <si>
    <t>产粮（油）大县奖励资金支出</t>
  </si>
  <si>
    <t>重点生态功能区转移支付支出</t>
  </si>
  <si>
    <t>固定数额补助支出</t>
  </si>
  <si>
    <t>革命老区转移支付支出</t>
  </si>
  <si>
    <t>民族地区转移支付支出</t>
  </si>
  <si>
    <t>边境地区转移支付支出</t>
  </si>
  <si>
    <t>贫困地区转移支付支出</t>
  </si>
  <si>
    <t>一般公共服务共同财政事权转移支付支出</t>
  </si>
  <si>
    <t>外交共同财政事权转移支付支出</t>
  </si>
  <si>
    <t>国防共同财政事权转移支付支出</t>
  </si>
  <si>
    <t>公共安全共同财政事权转移支付支出</t>
  </si>
  <si>
    <t>教育共同财政事权转移支付支出</t>
  </si>
  <si>
    <t>科学技术共同财政事权转移支付支出</t>
  </si>
  <si>
    <t>文化旅游体育与传媒共同财政事权转移支付支出</t>
  </si>
  <si>
    <t>社会保障和就业共同财政事权转移支付支出</t>
  </si>
  <si>
    <t>医疗卫生共同财政事权转移支付支出</t>
  </si>
  <si>
    <t>技能环保共同财政事权转移支付支出</t>
  </si>
  <si>
    <t>城乡社区共同财政事权转移支付支出</t>
  </si>
  <si>
    <t>农林水共同财政事权转移支付支出</t>
  </si>
  <si>
    <t>交通运输共同财政事权转移支付支出</t>
  </si>
  <si>
    <t>资源勘探信息等共同财政事权转移支付支出</t>
  </si>
  <si>
    <t>商业服务业等共同财政事权转移支付支出</t>
  </si>
  <si>
    <t>金融共同财政事权转移支付支出</t>
  </si>
  <si>
    <t>自然资源海洋气象等共同财政事权转移支付支出</t>
  </si>
  <si>
    <t>住房保障共同财政事权转移支付支出</t>
  </si>
  <si>
    <t>粮油物资储备共同财政事权转移支付支出</t>
  </si>
  <si>
    <t>灾害防治及应急管理共同财政事权转移支付支出</t>
  </si>
  <si>
    <t>其他共同财政事权转移支付支出</t>
  </si>
  <si>
    <t>其他一般性转移支付支出</t>
  </si>
  <si>
    <t xml:space="preserve"> 3.专项转移支付</t>
  </si>
  <si>
    <t>一般公共服务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</si>
  <si>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</si>
  <si>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</si>
  <si>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</si>
  <si>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</si>
  <si>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</si>
  <si>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</si>
  <si>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</si>
  <si>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</si>
  <si>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</si>
  <si>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</si>
  <si>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</si>
  <si>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</si>
  <si>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</si>
  <si>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</si>
  <si>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</si>
  <si>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</si>
  <si>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</si>
  <si>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</si>
  <si>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</si>
  <si>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其他支出</t>
  </si>
  <si>
    <t>（三）调出资金</t>
  </si>
  <si>
    <t>（四）债务转贷支出</t>
  </si>
  <si>
    <t>（五）地方政府一般债务还本支出</t>
  </si>
  <si>
    <t>（六）债务发行费用支出</t>
  </si>
  <si>
    <t>（七）援助其他地区支出</t>
  </si>
  <si>
    <t>（八）安排预算稳定调节基金</t>
  </si>
  <si>
    <t>（九）补充预算周转金</t>
  </si>
  <si>
    <t>（十）年终结余</t>
  </si>
  <si>
    <t>支出合计</t>
  </si>
  <si>
    <t>附件3</t>
  </si>
  <si>
    <t>雁山区政府性基金预算2022年收入预算（草案）</t>
  </si>
  <si>
    <t>项       目</t>
  </si>
  <si>
    <t>完成预算%</t>
  </si>
  <si>
    <t>2020年完成数</t>
  </si>
  <si>
    <t>一、国家电影事业发展专项资金收入</t>
  </si>
  <si>
    <t>二、国有土地收益基金收入</t>
  </si>
  <si>
    <t>三、农业土地开发资金收入</t>
  </si>
  <si>
    <t>四、国有土地使用权出让收入</t>
  </si>
  <si>
    <t xml:space="preserve">    划拨土地收入</t>
  </si>
  <si>
    <t>五、大中型水库库区基金收入</t>
  </si>
  <si>
    <t>六、彩票公益金收入</t>
  </si>
  <si>
    <t>七、城市基础设施配套费收入</t>
  </si>
  <si>
    <t>八、小型水库移民扶助基金收入</t>
  </si>
  <si>
    <t>九、国家重大水利工程建设基金收入</t>
  </si>
  <si>
    <t>十、车辆通行费</t>
  </si>
  <si>
    <t>十一、污水处理费收入</t>
  </si>
  <si>
    <t>十二、彩票发行机构和彩票销售机构的业务费用</t>
  </si>
  <si>
    <t>十三、其他政府性基金收入</t>
  </si>
  <si>
    <t>十四、其他政府性基金专项债务对应项目专项收入</t>
  </si>
  <si>
    <t xml:space="preserve">      其他政府性基金专项债务对应项目专项收入</t>
  </si>
  <si>
    <t xml:space="preserve">        其他地方自行试点项目收益专项债券对应项目专项收入</t>
  </si>
  <si>
    <t>政府性基金预算收入合计</t>
  </si>
  <si>
    <t xml:space="preserve">  上级补助收入</t>
  </si>
  <si>
    <t xml:space="preserve">  上年结余收入</t>
  </si>
  <si>
    <t xml:space="preserve">  调入资金</t>
  </si>
  <si>
    <t xml:space="preserve">  地方政府专项债务转贷收入</t>
  </si>
  <si>
    <t xml:space="preserve">      其他地方自行试点项目收益专项债券收入</t>
  </si>
  <si>
    <t>附表4</t>
  </si>
  <si>
    <t xml:space="preserve">  雁山区政府性基金预算2022年支出预算（草案）</t>
  </si>
  <si>
    <t>项目</t>
  </si>
  <si>
    <t>比2021年年初预算增减</t>
  </si>
  <si>
    <t>一、科学技术支出</t>
  </si>
  <si>
    <t xml:space="preserve">    核电站乏燃料处理处置基金支出</t>
  </si>
  <si>
    <t>二、文化旅游体育与传媒支出</t>
  </si>
  <si>
    <t xml:space="preserve">    国家电影事业发展专项资金安排的支出</t>
  </si>
  <si>
    <t xml:space="preserve">        资助国产影片放映</t>
  </si>
  <si>
    <t xml:space="preserve">        资助影院建设</t>
  </si>
  <si>
    <t xml:space="preserve">        其他国家电影事业发展专项资金支出</t>
  </si>
  <si>
    <t xml:space="preserve">    旅游发展基金支出</t>
  </si>
  <si>
    <t xml:space="preserve">       地方旅游开发项目补助</t>
  </si>
  <si>
    <t xml:space="preserve">       其他旅游发展基金支出</t>
  </si>
  <si>
    <t xml:space="preserve">    国家电影事业发展专项资金对应专项债务收入安排的支出</t>
  </si>
  <si>
    <t>三、社会保障和就业支出</t>
  </si>
  <si>
    <t>.</t>
  </si>
  <si>
    <t xml:space="preserve">    大中型水库移民后期扶持基金支出</t>
  </si>
  <si>
    <t xml:space="preserve">        移民补助</t>
  </si>
  <si>
    <t xml:space="preserve">        基础设施建设和经济发展</t>
  </si>
  <si>
    <t xml:space="preserve">        其他大中型水库移民后期扶持基金支出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</si>
  <si>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</si>
  <si>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</si>
  <si>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</si>
  <si>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</si>
  <si>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</si>
  <si>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</si>
  <si>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</si>
  <si>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</si>
  <si>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</si>
  <si>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</si>
  <si>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</si>
  <si>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</si>
  <si>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</si>
  <si>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</si>
  <si>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</si>
  <si>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</si>
  <si>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</si>
  <si>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</si>
  <si>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 其他国有土地使用权出让收入安排的支出</t>
  </si>
  <si>
    <t xml:space="preserve">    国有土地收益基金安排的支出</t>
  </si>
  <si>
    <t xml:space="preserve">      其他国有土地收益基金支出</t>
  </si>
  <si>
    <t xml:space="preserve">    农业土地开发资金安排的支出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</si>
  <si>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</si>
  <si>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</si>
  <si>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</si>
  <si>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</si>
  <si>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</si>
  <si>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</si>
  <si>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</si>
  <si>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</si>
  <si>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</si>
  <si>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</si>
  <si>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</si>
  <si>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</si>
  <si>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</si>
  <si>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
支出</t>
  </si>
  <si>
    <t>六、农林水支出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</si>
  <si>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</si>
  <si>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</si>
  <si>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</si>
  <si>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  地方重大水利工程建设</t>
  </si>
  <si>
    <t xml:space="preserve">      其他重大水利工程建设基金支出</t>
  </si>
  <si>
    <t xml:space="preserve">    大中型水库库区基金对应专项债务收入安排的支出</t>
  </si>
  <si>
    <t xml:space="preserve">    国家重大水利工程建设基金对应专项债务收入安排的支出</t>
  </si>
  <si>
    <t>七、交通运输支出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</si>
  <si>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</si>
  <si>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</si>
  <si>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</si>
  <si>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</si>
  <si>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</si>
  <si>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</si>
  <si>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</si>
  <si>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</si>
  <si>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</si>
  <si>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</si>
  <si>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八、资源勘探工业信息等支出</t>
  </si>
  <si>
    <t xml:space="preserve">    农网还贷资金支出</t>
  </si>
  <si>
    <t>九、金融支出</t>
  </si>
  <si>
    <t xml:space="preserve">    金融调控支出</t>
  </si>
  <si>
    <t>十、其他支出</t>
  </si>
  <si>
    <t xml:space="preserve">    其他政府性基金及对应专项债务收入安排的支出</t>
  </si>
  <si>
    <t xml:space="preserve">       其他政府性基金安排的支出</t>
  </si>
  <si>
    <t xml:space="preserve">       其他地方自行试点项目收益专项债券收入安排的支出</t>
  </si>
  <si>
    <t xml:space="preserve">    彩票发行销售机构业务费安排的支出</t>
  </si>
  <si>
    <t xml:space="preserve">       福利彩票发行机构的业务费支出</t>
  </si>
  <si>
    <t xml:space="preserve">       体育彩票发行机构的业务费支出</t>
  </si>
  <si>
    <t xml:space="preserve">    彩票公益金安排的支出</t>
  </si>
  <si>
    <t xml:space="preserve">       用于补充全国社会保障基金的彩票公益金支出</t>
  </si>
  <si>
    <t xml:space="preserve">       用于社会福利的彩票公益金支出</t>
  </si>
  <si>
    <t xml:space="preserve">       用于体育事业的彩票公益金支出</t>
  </si>
  <si>
    <t xml:space="preserve">       用于教育事业的彩票公益金支出</t>
  </si>
  <si>
    <t xml:space="preserve">       用于红十字事业的彩票公益金支出</t>
  </si>
  <si>
    <t xml:space="preserve">       用于残疾人事业的彩票公益金支出</t>
  </si>
  <si>
    <t xml:space="preserve">       用于扶贫的彩票公益金支出</t>
  </si>
  <si>
    <t xml:space="preserve">       用于城乡医疗救助的彩票公益金支出</t>
  </si>
  <si>
    <t xml:space="preserve">       用于其他社会公益事业的彩票公益金支出</t>
  </si>
  <si>
    <t>十一、债务付息支出</t>
  </si>
  <si>
    <t xml:space="preserve">    地方政府专项债务付息支出</t>
  </si>
  <si>
    <t>十二、债务发行费用支出</t>
  </si>
  <si>
    <t xml:space="preserve">    地方政府专项债务发行费用支出</t>
  </si>
  <si>
    <t>十三、抗疫特别国债安排的支出</t>
  </si>
  <si>
    <t xml:space="preserve">    基础设施建设</t>
  </si>
  <si>
    <t xml:space="preserve">        公共卫生体系建设</t>
  </si>
  <si>
    <t xml:space="preserve">        重大疫情防控救治体系建设</t>
  </si>
  <si>
    <t xml:space="preserve">        粮食安全</t>
  </si>
  <si>
    <t xml:space="preserve">        能源安全</t>
  </si>
  <si>
    <t xml:space="preserve">        应急物资保障</t>
  </si>
  <si>
    <t xml:space="preserve">        产业链改造升级</t>
  </si>
  <si>
    <t xml:space="preserve">        城镇老旧小区改造</t>
  </si>
  <si>
    <t xml:space="preserve">        生态环境治理</t>
  </si>
  <si>
    <t xml:space="preserve">        交通基础设施建设</t>
  </si>
  <si>
    <t xml:space="preserve">        市政设施建设</t>
  </si>
  <si>
    <t xml:space="preserve">        重大区域规划基础设施建设</t>
  </si>
  <si>
    <t xml:space="preserve">        其他基础设施建设</t>
  </si>
  <si>
    <t xml:space="preserve">    抗疫相关支出</t>
  </si>
  <si>
    <t xml:space="preserve">        减免防治补贴</t>
  </si>
  <si>
    <t xml:space="preserve">        创业担保贷款贴息</t>
  </si>
  <si>
    <t xml:space="preserve">        援企稳岗补贴</t>
  </si>
  <si>
    <t xml:space="preserve">        困难群众基本生活补助</t>
  </si>
  <si>
    <t xml:space="preserve">        其他抗疫相关支出</t>
  </si>
  <si>
    <t>政府性基金预算支出合计</t>
  </si>
  <si>
    <t>上解上级支出</t>
  </si>
  <si>
    <t>补助下级支出</t>
  </si>
  <si>
    <t>调出资金</t>
  </si>
  <si>
    <t>债务还本支出</t>
  </si>
  <si>
    <t>债务转贷支出</t>
  </si>
  <si>
    <t>年终结余</t>
  </si>
  <si>
    <t>支出总计</t>
  </si>
  <si>
    <t>附表5</t>
  </si>
  <si>
    <t>雁山区2022年社会保险基金收入预算表（草案）</t>
  </si>
  <si>
    <t>社会保险基金收入合计</t>
  </si>
  <si>
    <t>（一）企业职工基本养老保险基金收入</t>
  </si>
  <si>
    <t>（二）机关事业单位基本养老保险基金收入</t>
  </si>
  <si>
    <t>（三）城乡居民基本养老保险基金收入</t>
  </si>
  <si>
    <t>（四）城镇职工基本医疗保险基金（包含生育保险）收入</t>
  </si>
  <si>
    <t>（五）城乡居民基本医疗保险基金收入</t>
  </si>
  <si>
    <t>（六）工伤保险基金收入</t>
  </si>
  <si>
    <t>（七）失业保险基金收入</t>
  </si>
  <si>
    <t>附表6</t>
  </si>
  <si>
    <t>雁山区2022年社会保险基金支出预算表（草案）</t>
  </si>
  <si>
    <t>一、社会保险基金支出合计</t>
  </si>
  <si>
    <t>（一）企业职工基本养老保险基金支出</t>
  </si>
  <si>
    <t>（二）机关事业单位基本养老保险基金支出</t>
  </si>
  <si>
    <t>（三）城乡居民基本养老保险基金支出</t>
  </si>
  <si>
    <t>（四）城镇职工基本医疗保险基金（包含生育保险）支出</t>
  </si>
  <si>
    <t>（五）城乡居民基本医疗保险基金支出</t>
  </si>
  <si>
    <t>（六）工伤保险基金支出</t>
  </si>
  <si>
    <t>（七）失业保险基金支出</t>
  </si>
  <si>
    <t>二、社会保险基金本年收支结余合计</t>
  </si>
  <si>
    <t>全区社会保险基金年末滚存结余合计</t>
  </si>
  <si>
    <t>（一）企业职工基本养老保险基金本年收支结余</t>
  </si>
  <si>
    <t xml:space="preserve">     企业职工基本养老保险基金年末滚存结余</t>
  </si>
  <si>
    <t>（二）机关事业单位基本养老保险基金本年收支结余</t>
  </si>
  <si>
    <t xml:space="preserve">     机关事业单位基本养老保险基金年末滚存结余</t>
  </si>
  <si>
    <t>（三）城乡居民基本养老保险基金本年收支结余</t>
  </si>
  <si>
    <t xml:space="preserve">     城乡居民基本养老保险基金年末滚存结余</t>
  </si>
  <si>
    <t>（四）城镇职工基本医疗保险基金（包含生育保险）本年收支结余</t>
  </si>
  <si>
    <t xml:space="preserve">     城镇职工基本医疗保险基金（包含生育保险）年末滚存结余</t>
  </si>
  <si>
    <t>（五）城乡居民基本医疗保险基金本年收支结余</t>
  </si>
  <si>
    <t xml:space="preserve">     城乡居民基本医疗保险基金年末滚存结余</t>
  </si>
  <si>
    <t>（六）工伤保险基金本年收支结余</t>
  </si>
  <si>
    <t xml:space="preserve">     工伤保险基金年末滚存结余</t>
  </si>
  <si>
    <t>（七）失业保险基金本年收支结余</t>
  </si>
  <si>
    <t xml:space="preserve">     失业保险基金年末滚存结余</t>
  </si>
</sst>
</file>

<file path=xl/styles.xml><?xml version="1.0" encoding="utf-8"?>
<styleSheet xmlns="http://schemas.openxmlformats.org/spreadsheetml/2006/main">
  <numFmts count="13">
    <numFmt numFmtId="176" formatCode="\ \ \ \ 0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_ "/>
    <numFmt numFmtId="43" formatCode="_ * #,##0.00_ ;_ * \-#,##0.00_ ;_ * &quot;-&quot;??_ ;_ @_ "/>
    <numFmt numFmtId="179" formatCode="0.00_ "/>
    <numFmt numFmtId="180" formatCode="0.0%"/>
    <numFmt numFmtId="181" formatCode="[=0]&quot;- &quot;;General"/>
    <numFmt numFmtId="182" formatCode="#,##0.0_ "/>
    <numFmt numFmtId="183" formatCode="0_);[Red]\(0\)"/>
    <numFmt numFmtId="184" formatCode="0.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b/>
      <sz val="12"/>
      <name val="宋体"/>
      <charset val="134"/>
    </font>
    <font>
      <sz val="11"/>
      <name val="宋体"/>
      <charset val="134"/>
    </font>
    <font>
      <sz val="22"/>
      <name val="方正小标宋_GBK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20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" borderId="10" applyNumberFormat="0" applyAlignment="0" applyProtection="0">
      <alignment vertical="center"/>
    </xf>
    <xf numFmtId="0" fontId="25" fillId="2" borderId="12" applyNumberFormat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5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17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8" fontId="6" fillId="0" borderId="1" xfId="0" applyNumberFormat="1" applyFont="1" applyFill="1" applyBorder="1" applyAlignment="1" applyProtection="1">
      <alignment horizontal="right" vertical="center" wrapText="1"/>
    </xf>
    <xf numFmtId="180" fontId="6" fillId="0" borderId="1" xfId="0" applyNumberFormat="1" applyFont="1" applyFill="1" applyBorder="1" applyAlignment="1" applyProtection="1">
      <alignment horizontal="right" vertical="center" wrapText="1"/>
    </xf>
    <xf numFmtId="180" fontId="6" fillId="0" borderId="1" xfId="11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 applyProtection="1">
      <alignment horizontal="right" vertical="center" wrapText="1"/>
    </xf>
    <xf numFmtId="180" fontId="1" fillId="0" borderId="1" xfId="0" applyNumberFormat="1" applyFont="1" applyFill="1" applyBorder="1" applyAlignment="1" applyProtection="1">
      <alignment horizontal="right" vertical="center" wrapText="1"/>
    </xf>
    <xf numFmtId="180" fontId="1" fillId="0" borderId="1" xfId="1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81" fontId="6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81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54" applyNumberFormat="1" applyFont="1" applyFill="1" applyAlignment="1">
      <alignment vertical="center"/>
    </xf>
    <xf numFmtId="0" fontId="7" fillId="0" borderId="0" xfId="54" applyNumberFormat="1" applyFont="1" applyFill="1" applyAlignment="1">
      <alignment vertical="center"/>
    </xf>
    <xf numFmtId="0" fontId="4" fillId="0" borderId="0" xfId="54" applyNumberFormat="1" applyFont="1" applyFill="1" applyAlignment="1">
      <alignment vertical="center"/>
    </xf>
    <xf numFmtId="0" fontId="1" fillId="0" borderId="0" xfId="54" applyNumberFormat="1" applyFont="1" applyFill="1" applyAlignment="1">
      <alignment vertical="center" wrapText="1"/>
    </xf>
    <xf numFmtId="0" fontId="8" fillId="0" borderId="0" xfId="54" applyNumberFormat="1" applyFont="1" applyFill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left" vertical="center" wrapText="1"/>
    </xf>
    <xf numFmtId="41" fontId="4" fillId="0" borderId="1" xfId="54" applyNumberFormat="1" applyFont="1" applyFill="1" applyBorder="1" applyAlignment="1">
      <alignment vertical="center"/>
    </xf>
    <xf numFmtId="182" fontId="7" fillId="0" borderId="1" xfId="56" applyNumberFormat="1" applyFont="1" applyFill="1" applyBorder="1" applyAlignment="1">
      <alignment horizontal="right" vertical="center"/>
    </xf>
    <xf numFmtId="178" fontId="7" fillId="0" borderId="1" xfId="56" applyNumberFormat="1" applyFont="1" applyFill="1" applyBorder="1" applyAlignment="1">
      <alignment horizontal="right" vertical="center"/>
    </xf>
    <xf numFmtId="41" fontId="7" fillId="0" borderId="1" xfId="54" applyNumberFormat="1" applyFont="1" applyFill="1" applyBorder="1" applyAlignment="1">
      <alignment vertical="center"/>
    </xf>
    <xf numFmtId="0" fontId="7" fillId="0" borderId="0" xfId="54" applyNumberFormat="1" applyFont="1" applyFill="1" applyAlignment="1">
      <alignment horizontal="right" vertical="center"/>
    </xf>
    <xf numFmtId="0" fontId="7" fillId="0" borderId="1" xfId="54" applyNumberFormat="1" applyFont="1" applyFill="1" applyBorder="1" applyAlignment="1">
      <alignment vertical="center"/>
    </xf>
    <xf numFmtId="0" fontId="9" fillId="0" borderId="1" xfId="54" applyNumberFormat="1" applyFont="1" applyFill="1" applyBorder="1" applyAlignment="1">
      <alignment vertical="center"/>
    </xf>
    <xf numFmtId="0" fontId="7" fillId="0" borderId="1" xfId="54" applyNumberFormat="1" applyFont="1" applyFill="1" applyBorder="1" applyAlignment="1">
      <alignment vertical="center" wrapText="1"/>
    </xf>
    <xf numFmtId="0" fontId="9" fillId="0" borderId="1" xfId="54" applyNumberFormat="1" applyFont="1" applyFill="1" applyBorder="1" applyAlignment="1">
      <alignment vertical="center" wrapText="1"/>
    </xf>
    <xf numFmtId="0" fontId="4" fillId="0" borderId="1" xfId="57" applyFont="1" applyFill="1" applyBorder="1" applyAlignment="1">
      <alignment horizontal="center" vertical="center"/>
    </xf>
    <xf numFmtId="0" fontId="7" fillId="0" borderId="1" xfId="36" applyNumberFormat="1" applyFont="1" applyFill="1" applyBorder="1" applyAlignment="1" applyProtection="1">
      <alignment horizontal="left" vertical="center" wrapText="1"/>
    </xf>
    <xf numFmtId="183" fontId="7" fillId="0" borderId="0" xfId="54" applyNumberFormat="1" applyFont="1" applyFill="1" applyAlignment="1">
      <alignment vertical="center"/>
    </xf>
    <xf numFmtId="41" fontId="1" fillId="0" borderId="0" xfId="54" applyNumberFormat="1" applyFont="1" applyFill="1" applyAlignment="1">
      <alignment vertical="center"/>
    </xf>
    <xf numFmtId="0" fontId="6" fillId="0" borderId="0" xfId="54" applyNumberFormat="1" applyFont="1" applyFill="1" applyAlignment="1">
      <alignment vertical="center"/>
    </xf>
    <xf numFmtId="178" fontId="1" fillId="0" borderId="0" xfId="54" applyNumberFormat="1" applyFont="1" applyFill="1" applyAlignment="1">
      <alignment vertical="center"/>
    </xf>
    <xf numFmtId="184" fontId="1" fillId="0" borderId="0" xfId="54" applyNumberFormat="1" applyFont="1" applyFill="1" applyAlignment="1">
      <alignment vertical="center"/>
    </xf>
    <xf numFmtId="184" fontId="4" fillId="0" borderId="1" xfId="54" applyNumberFormat="1" applyFont="1" applyFill="1" applyBorder="1" applyAlignment="1">
      <alignment horizontal="center" vertical="center" wrapText="1"/>
    </xf>
    <xf numFmtId="3" fontId="7" fillId="0" borderId="1" xfId="55" applyNumberFormat="1" applyFont="1" applyFill="1" applyBorder="1" applyAlignment="1" applyProtection="1">
      <alignment vertical="center"/>
    </xf>
    <xf numFmtId="41" fontId="1" fillId="0" borderId="1" xfId="54" applyNumberFormat="1" applyFont="1" applyFill="1" applyBorder="1" applyAlignment="1">
      <alignment vertical="center"/>
    </xf>
    <xf numFmtId="184" fontId="7" fillId="0" borderId="1" xfId="55" applyNumberFormat="1" applyFont="1" applyFill="1" applyBorder="1" applyAlignment="1">
      <alignment vertical="center"/>
    </xf>
    <xf numFmtId="178" fontId="7" fillId="0" borderId="1" xfId="55" applyNumberFormat="1" applyFont="1" applyFill="1" applyBorder="1" applyAlignment="1">
      <alignment vertical="center"/>
    </xf>
    <xf numFmtId="41" fontId="6" fillId="0" borderId="1" xfId="54" applyNumberFormat="1" applyFont="1" applyFill="1" applyBorder="1" applyAlignment="1">
      <alignment vertical="center"/>
    </xf>
    <xf numFmtId="184" fontId="4" fillId="0" borderId="1" xfId="56" applyNumberFormat="1" applyFont="1" applyFill="1" applyBorder="1" applyAlignment="1">
      <alignment horizontal="right" vertical="center"/>
    </xf>
    <xf numFmtId="178" fontId="4" fillId="0" borderId="1" xfId="56" applyNumberFormat="1" applyFont="1" applyFill="1" applyBorder="1" applyAlignment="1">
      <alignment horizontal="right" vertical="center"/>
    </xf>
    <xf numFmtId="182" fontId="4" fillId="0" borderId="1" xfId="56" applyNumberFormat="1" applyFont="1" applyFill="1" applyBorder="1" applyAlignment="1">
      <alignment horizontal="right" vertical="center"/>
    </xf>
    <xf numFmtId="179" fontId="7" fillId="0" borderId="1" xfId="54" applyNumberFormat="1" applyFont="1" applyFill="1" applyBorder="1" applyAlignment="1" applyProtection="1">
      <alignment vertical="center" wrapText="1"/>
      <protection locked="0"/>
    </xf>
    <xf numFmtId="184" fontId="7" fillId="0" borderId="1" xfId="56" applyNumberFormat="1" applyFont="1" applyFill="1" applyBorder="1" applyAlignment="1">
      <alignment horizontal="right" vertical="center"/>
    </xf>
    <xf numFmtId="0" fontId="1" fillId="0" borderId="0" xfId="54" applyNumberFormat="1" applyFont="1" applyFill="1" applyBorder="1" applyAlignment="1">
      <alignment vertical="center"/>
    </xf>
    <xf numFmtId="0" fontId="7" fillId="0" borderId="3" xfId="54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vertical="center"/>
    </xf>
    <xf numFmtId="178" fontId="4" fillId="0" borderId="1" xfId="55" applyNumberFormat="1" applyFont="1" applyFill="1" applyBorder="1" applyAlignment="1">
      <alignment vertical="center"/>
    </xf>
    <xf numFmtId="184" fontId="4" fillId="0" borderId="1" xfId="55" applyNumberFormat="1" applyFont="1" applyFill="1" applyBorder="1" applyAlignment="1">
      <alignment vertical="center"/>
    </xf>
    <xf numFmtId="0" fontId="6" fillId="0" borderId="1" xfId="5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18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184" fontId="4" fillId="0" borderId="1" xfId="0" applyNumberFormat="1" applyFont="1" applyFill="1" applyBorder="1" applyAlignment="1">
      <alignment horizontal="center" vertical="center" wrapText="1"/>
    </xf>
    <xf numFmtId="18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 wrapText="1"/>
    </xf>
    <xf numFmtId="184" fontId="7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 applyProtection="1">
      <alignment horizontal="left" vertical="center"/>
      <protection locked="0"/>
    </xf>
    <xf numFmtId="184" fontId="7" fillId="0" borderId="2" xfId="0" applyNumberFormat="1" applyFont="1" applyFill="1" applyBorder="1" applyAlignment="1" applyProtection="1">
      <alignment horizontal="left" vertical="center"/>
      <protection locked="0"/>
    </xf>
    <xf numFmtId="177" fontId="7" fillId="0" borderId="4" xfId="0" applyNumberFormat="1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Fill="1" applyBorder="1" applyAlignment="1">
      <alignment vertical="center" wrapText="1"/>
    </xf>
    <xf numFmtId="178" fontId="4" fillId="0" borderId="5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8" fontId="4" fillId="0" borderId="7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8" xfId="5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84" fontId="7" fillId="0" borderId="4" xfId="0" applyNumberFormat="1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vertical="center" wrapText="1"/>
      <protection locked="0"/>
    </xf>
    <xf numFmtId="178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vertical="center" wrapText="1"/>
      <protection locked="0"/>
    </xf>
    <xf numFmtId="1" fontId="9" fillId="0" borderId="1" xfId="0" applyNumberFormat="1" applyFont="1" applyFill="1" applyBorder="1" applyAlignment="1" applyProtection="1">
      <alignment horizontal="right" vertical="center" wrapText="1"/>
    </xf>
    <xf numFmtId="178" fontId="9" fillId="0" borderId="1" xfId="0" applyNumberFormat="1" applyFont="1" applyFill="1" applyBorder="1" applyAlignment="1" applyProtection="1">
      <alignment horizontal="right" vertical="center"/>
    </xf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vertical="center"/>
      <protection locked="0"/>
    </xf>
    <xf numFmtId="178" fontId="9" fillId="0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1" fontId="9" fillId="0" borderId="8" xfId="0" applyNumberFormat="1" applyFont="1" applyFill="1" applyBorder="1" applyAlignment="1" applyProtection="1">
      <alignment horizontal="right" vertical="center" wrapText="1"/>
    </xf>
    <xf numFmtId="178" fontId="9" fillId="0" borderId="8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 applyProtection="1">
      <alignment vertical="center" wrapText="1"/>
      <protection locked="0"/>
    </xf>
    <xf numFmtId="178" fontId="7" fillId="0" borderId="1" xfId="0" applyNumberFormat="1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vertical="center" wrapText="1"/>
      <protection locked="0"/>
    </xf>
    <xf numFmtId="178" fontId="6" fillId="0" borderId="1" xfId="0" applyNumberFormat="1" applyFont="1" applyFill="1" applyBorder="1" applyAlignment="1">
      <alignment vertical="center" wrapText="1"/>
    </xf>
    <xf numFmtId="184" fontId="4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9" fontId="7" fillId="0" borderId="1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178" fontId="1" fillId="0" borderId="3" xfId="51" applyNumberFormat="1" applyFont="1" applyFill="1" applyBorder="1" applyAlignment="1" applyProtection="1">
      <alignment vertical="center" wrapText="1"/>
    </xf>
    <xf numFmtId="178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7" fillId="0" borderId="1" xfId="53" applyNumberFormat="1" applyFont="1" applyFill="1" applyBorder="1" applyAlignment="1">
      <alignment vertical="center"/>
    </xf>
    <xf numFmtId="178" fontId="7" fillId="0" borderId="1" xfId="51" applyNumberFormat="1" applyFont="1" applyFill="1" applyBorder="1" applyAlignment="1" applyProtection="1">
      <alignment horizontal="right" vertical="center" wrapText="1"/>
    </xf>
    <xf numFmtId="178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 applyProtection="1">
      <alignment horizontal="left" vertical="center" wrapText="1"/>
    </xf>
    <xf numFmtId="178" fontId="4" fillId="0" borderId="1" xfId="12" applyNumberFormat="1" applyFont="1" applyFill="1" applyBorder="1" applyAlignment="1">
      <alignment horizontal="distributed" vertical="center"/>
    </xf>
    <xf numFmtId="178" fontId="4" fillId="0" borderId="1" xfId="11" applyNumberFormat="1" applyFont="1" applyFill="1" applyBorder="1" applyAlignment="1">
      <alignment vertical="center"/>
    </xf>
    <xf numFmtId="178" fontId="7" fillId="0" borderId="1" xfId="11" applyNumberFormat="1" applyFont="1" applyFill="1" applyBorder="1" applyAlignment="1">
      <alignment vertical="center"/>
    </xf>
    <xf numFmtId="178" fontId="7" fillId="0" borderId="1" xfId="52" applyNumberFormat="1" applyFont="1" applyFill="1" applyBorder="1" applyAlignment="1">
      <alignment vertical="center" wrapText="1"/>
    </xf>
    <xf numFmtId="178" fontId="1" fillId="0" borderId="3" xfId="51" applyNumberFormat="1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8" fontId="6" fillId="0" borderId="1" xfId="12" applyNumberFormat="1" applyFont="1" applyFill="1" applyBorder="1" applyAlignment="1">
      <alignment horizontal="distributed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市本级2018年财政预算表 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116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140" xfId="52"/>
    <cellStyle name="常规 2 10 3" xfId="53"/>
    <cellStyle name="常规_2013年政府性基金预算草案0109陈改" xfId="54"/>
    <cellStyle name="常规 2" xfId="55"/>
    <cellStyle name="常规_广西壮族自治区全区与自治区本级2012年预算执行情况和2013年预算（草案）（最终）" xfId="56"/>
    <cellStyle name="常规_市本级2018年财政预算表  3" xfId="5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1vjkz3vjxtt721\FileStorage\File\2022-01\&#38593;&#23665;&#21306;2021&#24180;&#25191;&#34892;&#24773;&#20917;&#21644;2022&#24180;&#39044;&#31639;&#33609;&#26696;&#65288;&#35203;&#65289;1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1vjkz3vjxtt721\FileStorage\File\2022-01\&#38593;&#23665;&#21306;2021&#24180;&#25191;&#34892;&#24773;&#20917;&#21644;2022&#24180;&#39044;&#31639;&#33609;&#26696;&#65288;&#34920;&#26684;&#65289;1.7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收入"/>
      <sheetName val="一般公共预算支出"/>
      <sheetName val="一般公共预算基本支出表"/>
      <sheetName val="一般公共预算税收返还和转移支付表"/>
      <sheetName val="2020年政府一般债务限额及余额情况表"/>
      <sheetName val="2020—2021年政府一般债券发行及还本付息情况表"/>
      <sheetName val="政府基金收入"/>
      <sheetName val="政府基金支出"/>
      <sheetName val="政府性基金转移支付表"/>
      <sheetName val="2020年政府专项债务限额及余额情况表"/>
      <sheetName val="国有资本经营预算收入表"/>
      <sheetName val="国有资本经营预算支出表"/>
      <sheetName val="社会保险基金收入预算表"/>
      <sheetName val="社会保险基金支出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1">
          <cell r="C31">
            <v>24198</v>
          </cell>
        </row>
      </sheetData>
      <sheetData sheetId="7" refreshError="1">
        <row r="126">
          <cell r="C126">
            <v>20430</v>
          </cell>
        </row>
        <row r="133">
          <cell r="C133">
            <v>3768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收入"/>
      <sheetName val="一般公共预算支出"/>
      <sheetName val="一般公共预算基本支出表"/>
      <sheetName val="一般公共预算税收返还和转移支付表"/>
      <sheetName val="2020年政府一般债务限额及余额情况表"/>
      <sheetName val="2020—2021年政府一般债券发行及还本付息情况表"/>
      <sheetName val="政府基金收入"/>
      <sheetName val="政府基金支出"/>
      <sheetName val="政府性基金转移支付表"/>
      <sheetName val="2020年政府专项债务限额及余额情况表"/>
      <sheetName val="国有资本经营预算收入表"/>
      <sheetName val="国有资本经营预算支出表"/>
      <sheetName val="社会保险基金收入预算表"/>
      <sheetName val="社会保险基金支出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H8">
            <v>4433.58</v>
          </cell>
        </row>
        <row r="9">
          <cell r="H9">
            <v>2027.29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0"/>
  <sheetViews>
    <sheetView workbookViewId="0">
      <pane xSplit="1" ySplit="6" topLeftCell="B105" activePane="bottomRight" state="frozen"/>
      <selection/>
      <selection pane="topRight"/>
      <selection pane="bottomLeft"/>
      <selection pane="bottomRight" activeCell="R113" sqref="R113"/>
    </sheetView>
  </sheetViews>
  <sheetFormatPr defaultColWidth="9" defaultRowHeight="14.25"/>
  <cols>
    <col min="1" max="1" width="48" style="73" customWidth="1"/>
    <col min="2" max="2" width="9.25" style="73" customWidth="1"/>
    <col min="3" max="3" width="9.83333333333333" style="73" customWidth="1"/>
    <col min="4" max="4" width="11" style="73" customWidth="1"/>
    <col min="5" max="5" width="10.375" style="73" customWidth="1"/>
    <col min="6" max="6" width="9.83333333333333" style="73" customWidth="1"/>
    <col min="7" max="7" width="10.3333333333333" style="73" customWidth="1"/>
    <col min="8" max="8" width="9.33333333333333" style="73" customWidth="1"/>
    <col min="9" max="9" width="10" style="73" customWidth="1"/>
    <col min="10" max="10" width="10.0833333333333" style="73" customWidth="1"/>
    <col min="11" max="11" width="10.5833333333333" style="73" customWidth="1"/>
    <col min="12" max="16384" width="9" style="73"/>
  </cols>
  <sheetData>
    <row r="1" spans="1:1">
      <c r="A1" s="73" t="s">
        <v>0</v>
      </c>
    </row>
    <row r="2" s="73" customFormat="1" ht="28.5" spans="1:1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="73" customFormat="1" spans="1:11">
      <c r="A3" s="139"/>
      <c r="B3" s="139"/>
      <c r="C3" s="139"/>
      <c r="D3" s="139"/>
      <c r="E3" s="139"/>
      <c r="F3" s="139"/>
      <c r="G3" s="139"/>
      <c r="H3" s="139"/>
      <c r="I3" s="151"/>
      <c r="J3" s="151"/>
      <c r="K3" s="152" t="s">
        <v>2</v>
      </c>
    </row>
    <row r="4" s="73" customFormat="1" spans="1:11">
      <c r="A4" s="80" t="s">
        <v>3</v>
      </c>
      <c r="B4" s="140" t="s">
        <v>4</v>
      </c>
      <c r="C4" s="140"/>
      <c r="D4" s="140"/>
      <c r="E4" s="140"/>
      <c r="F4" s="140"/>
      <c r="G4" s="140"/>
      <c r="H4" s="80" t="s">
        <v>5</v>
      </c>
      <c r="I4" s="80"/>
      <c r="J4" s="80"/>
      <c r="K4" s="153" t="s">
        <v>6</v>
      </c>
    </row>
    <row r="5" s="73" customFormat="1" spans="1:11">
      <c r="A5" s="80"/>
      <c r="B5" s="140" t="s">
        <v>7</v>
      </c>
      <c r="C5" s="80" t="s">
        <v>8</v>
      </c>
      <c r="D5" s="141" t="s">
        <v>9</v>
      </c>
      <c r="E5" s="80" t="s">
        <v>10</v>
      </c>
      <c r="F5" s="80" t="s">
        <v>11</v>
      </c>
      <c r="G5" s="80"/>
      <c r="H5" s="80" t="s">
        <v>12</v>
      </c>
      <c r="I5" s="80" t="s">
        <v>13</v>
      </c>
      <c r="J5" s="80"/>
      <c r="K5" s="154"/>
    </row>
    <row r="6" s="73" customFormat="1" spans="1:11">
      <c r="A6" s="80"/>
      <c r="B6" s="140"/>
      <c r="C6" s="80"/>
      <c r="D6" s="142"/>
      <c r="E6" s="80"/>
      <c r="F6" s="80" t="s">
        <v>14</v>
      </c>
      <c r="G6" s="142" t="s">
        <v>15</v>
      </c>
      <c r="H6" s="80"/>
      <c r="I6" s="80" t="s">
        <v>14</v>
      </c>
      <c r="J6" s="142" t="s">
        <v>15</v>
      </c>
      <c r="K6" s="155"/>
    </row>
    <row r="7" s="73" customFormat="1" spans="1:11">
      <c r="A7" s="105" t="s">
        <v>16</v>
      </c>
      <c r="B7" s="131">
        <f>SUM(B8:B27)</f>
        <v>2667</v>
      </c>
      <c r="C7" s="131">
        <f>SUM(C8:C27)</f>
        <v>3443</v>
      </c>
      <c r="D7" s="131">
        <f t="shared" ref="D7:D46" si="0">C7/B7*100</f>
        <v>129.096362954631</v>
      </c>
      <c r="E7" s="131">
        <f>SUM(E8:E27)</f>
        <v>3557</v>
      </c>
      <c r="F7" s="131">
        <f t="shared" ref="F7:F46" si="1">C7-E7</f>
        <v>-114</v>
      </c>
      <c r="G7" s="131">
        <f t="shared" ref="G7:G46" si="2">F7/E7*100</f>
        <v>-3.20494798987911</v>
      </c>
      <c r="H7" s="131">
        <f>SUM(H8:H27)</f>
        <v>3770</v>
      </c>
      <c r="I7" s="131">
        <f t="shared" ref="I7:I46" si="3">H7-C7</f>
        <v>327</v>
      </c>
      <c r="J7" s="131">
        <f t="shared" ref="J7:J46" si="4">I7/C7*100</f>
        <v>9.49753122277084</v>
      </c>
      <c r="K7" s="156"/>
    </row>
    <row r="8" s="73" customFormat="1" spans="1:11">
      <c r="A8" s="88" t="s">
        <v>17</v>
      </c>
      <c r="B8" s="143">
        <v>1581</v>
      </c>
      <c r="C8" s="143">
        <v>1603</v>
      </c>
      <c r="D8" s="131">
        <f t="shared" si="0"/>
        <v>101.391524351676</v>
      </c>
      <c r="E8" s="131">
        <v>1832</v>
      </c>
      <c r="F8" s="131">
        <f t="shared" si="1"/>
        <v>-229</v>
      </c>
      <c r="G8" s="131">
        <f t="shared" si="2"/>
        <v>-12.5</v>
      </c>
      <c r="H8" s="143">
        <v>1811</v>
      </c>
      <c r="I8" s="131">
        <f t="shared" si="3"/>
        <v>208</v>
      </c>
      <c r="J8" s="131">
        <f t="shared" si="4"/>
        <v>12.975670617592</v>
      </c>
      <c r="K8" s="86"/>
    </row>
    <row r="9" s="73" customFormat="1" spans="1:11">
      <c r="A9" s="88" t="s">
        <v>18</v>
      </c>
      <c r="B9" s="143"/>
      <c r="C9" s="143"/>
      <c r="D9" s="131" t="e">
        <f t="shared" si="0"/>
        <v>#DIV/0!</v>
      </c>
      <c r="E9" s="131"/>
      <c r="F9" s="131">
        <f t="shared" si="1"/>
        <v>0</v>
      </c>
      <c r="G9" s="131" t="e">
        <f t="shared" si="2"/>
        <v>#DIV/0!</v>
      </c>
      <c r="H9" s="143"/>
      <c r="I9" s="131">
        <f t="shared" si="3"/>
        <v>0</v>
      </c>
      <c r="J9" s="131" t="e">
        <f t="shared" si="4"/>
        <v>#DIV/0!</v>
      </c>
      <c r="K9" s="86"/>
    </row>
    <row r="10" s="73" customFormat="1" spans="1:11">
      <c r="A10" s="88" t="s">
        <v>19</v>
      </c>
      <c r="B10" s="143">
        <v>210</v>
      </c>
      <c r="C10" s="143">
        <v>405</v>
      </c>
      <c r="D10" s="131">
        <f t="shared" si="0"/>
        <v>192.857142857143</v>
      </c>
      <c r="E10" s="131">
        <v>568</v>
      </c>
      <c r="F10" s="131">
        <f t="shared" si="1"/>
        <v>-163</v>
      </c>
      <c r="G10" s="131">
        <f t="shared" si="2"/>
        <v>-28.6971830985916</v>
      </c>
      <c r="H10" s="143">
        <v>535</v>
      </c>
      <c r="I10" s="131">
        <f t="shared" si="3"/>
        <v>130</v>
      </c>
      <c r="J10" s="131">
        <f t="shared" si="4"/>
        <v>32.0987654320988</v>
      </c>
      <c r="K10" s="156"/>
    </row>
    <row r="11" s="73" customFormat="1" spans="1:11">
      <c r="A11" s="88" t="s">
        <v>20</v>
      </c>
      <c r="B11" s="143"/>
      <c r="C11" s="143"/>
      <c r="D11" s="131" t="e">
        <f t="shared" si="0"/>
        <v>#DIV/0!</v>
      </c>
      <c r="E11" s="131"/>
      <c r="F11" s="131">
        <f t="shared" si="1"/>
        <v>0</v>
      </c>
      <c r="G11" s="131" t="e">
        <f t="shared" si="2"/>
        <v>#DIV/0!</v>
      </c>
      <c r="H11" s="143"/>
      <c r="I11" s="131">
        <f t="shared" si="3"/>
        <v>0</v>
      </c>
      <c r="J11" s="131" t="e">
        <f t="shared" si="4"/>
        <v>#DIV/0!</v>
      </c>
      <c r="K11" s="156"/>
    </row>
    <row r="12" s="73" customFormat="1" spans="1:11">
      <c r="A12" s="88" t="s">
        <v>21</v>
      </c>
      <c r="B12" s="143">
        <v>175</v>
      </c>
      <c r="C12" s="143">
        <v>222</v>
      </c>
      <c r="D12" s="131">
        <f t="shared" si="0"/>
        <v>126.857142857143</v>
      </c>
      <c r="E12" s="131">
        <v>344</v>
      </c>
      <c r="F12" s="131">
        <f t="shared" si="1"/>
        <v>-122</v>
      </c>
      <c r="G12" s="131">
        <f t="shared" si="2"/>
        <v>-35.4651162790698</v>
      </c>
      <c r="H12" s="143">
        <v>238</v>
      </c>
      <c r="I12" s="131">
        <f t="shared" si="3"/>
        <v>16</v>
      </c>
      <c r="J12" s="131">
        <f t="shared" si="4"/>
        <v>7.20720720720721</v>
      </c>
      <c r="K12" s="156"/>
    </row>
    <row r="13" s="73" customFormat="1" spans="1:11">
      <c r="A13" s="88" t="s">
        <v>22</v>
      </c>
      <c r="B13" s="143"/>
      <c r="C13" s="143"/>
      <c r="D13" s="131" t="e">
        <f t="shared" si="0"/>
        <v>#DIV/0!</v>
      </c>
      <c r="E13" s="131"/>
      <c r="F13" s="131">
        <f t="shared" si="1"/>
        <v>0</v>
      </c>
      <c r="G13" s="131" t="e">
        <f t="shared" si="2"/>
        <v>#DIV/0!</v>
      </c>
      <c r="H13" s="143"/>
      <c r="I13" s="131">
        <f t="shared" si="3"/>
        <v>0</v>
      </c>
      <c r="J13" s="131" t="e">
        <f t="shared" si="4"/>
        <v>#DIV/0!</v>
      </c>
      <c r="K13" s="156"/>
    </row>
    <row r="14" s="73" customFormat="1" spans="1:11">
      <c r="A14" s="88" t="s">
        <v>23</v>
      </c>
      <c r="B14" s="143">
        <v>290</v>
      </c>
      <c r="C14" s="143">
        <v>275</v>
      </c>
      <c r="D14" s="131">
        <f t="shared" si="0"/>
        <v>94.8275862068966</v>
      </c>
      <c r="E14" s="131">
        <v>357</v>
      </c>
      <c r="F14" s="131">
        <f t="shared" si="1"/>
        <v>-82</v>
      </c>
      <c r="G14" s="131">
        <f t="shared" si="2"/>
        <v>-22.96918767507</v>
      </c>
      <c r="H14" s="143">
        <v>300</v>
      </c>
      <c r="I14" s="131">
        <f t="shared" si="3"/>
        <v>25</v>
      </c>
      <c r="J14" s="131">
        <f t="shared" si="4"/>
        <v>9.09090909090909</v>
      </c>
      <c r="K14" s="156"/>
    </row>
    <row r="15" s="73" customFormat="1" spans="1:11">
      <c r="A15" s="88" t="s">
        <v>24</v>
      </c>
      <c r="B15" s="143">
        <v>35</v>
      </c>
      <c r="C15" s="143">
        <v>199</v>
      </c>
      <c r="D15" s="131">
        <f t="shared" si="0"/>
        <v>568.571428571429</v>
      </c>
      <c r="E15" s="131">
        <v>35</v>
      </c>
      <c r="F15" s="131">
        <f t="shared" si="1"/>
        <v>164</v>
      </c>
      <c r="G15" s="131">
        <f t="shared" si="2"/>
        <v>468.571428571429</v>
      </c>
      <c r="H15" s="143">
        <v>191</v>
      </c>
      <c r="I15" s="131">
        <f t="shared" si="3"/>
        <v>-8</v>
      </c>
      <c r="J15" s="131">
        <f t="shared" si="4"/>
        <v>-4.02010050251256</v>
      </c>
      <c r="K15" s="156"/>
    </row>
    <row r="16" s="73" customFormat="1" spans="1:11">
      <c r="A16" s="88" t="s">
        <v>25</v>
      </c>
      <c r="B16" s="143">
        <v>88</v>
      </c>
      <c r="C16" s="143">
        <v>257</v>
      </c>
      <c r="D16" s="131">
        <f t="shared" si="0"/>
        <v>292.045454545455</v>
      </c>
      <c r="E16" s="131">
        <v>181</v>
      </c>
      <c r="F16" s="131">
        <f t="shared" si="1"/>
        <v>76</v>
      </c>
      <c r="G16" s="131">
        <f t="shared" si="2"/>
        <v>41.9889502762431</v>
      </c>
      <c r="H16" s="143">
        <v>250</v>
      </c>
      <c r="I16" s="131">
        <f t="shared" si="3"/>
        <v>-7</v>
      </c>
      <c r="J16" s="131">
        <f t="shared" si="4"/>
        <v>-2.72373540856031</v>
      </c>
      <c r="K16" s="156"/>
    </row>
    <row r="17" s="73" customFormat="1" spans="1:11">
      <c r="A17" s="88" t="s">
        <v>26</v>
      </c>
      <c r="B17" s="143">
        <v>35</v>
      </c>
      <c r="C17" s="143">
        <v>71</v>
      </c>
      <c r="D17" s="131">
        <f t="shared" si="0"/>
        <v>202.857142857143</v>
      </c>
      <c r="E17" s="131">
        <v>33</v>
      </c>
      <c r="F17" s="131">
        <f t="shared" si="1"/>
        <v>38</v>
      </c>
      <c r="G17" s="131">
        <f t="shared" si="2"/>
        <v>115.151515151515</v>
      </c>
      <c r="H17" s="143">
        <v>70</v>
      </c>
      <c r="I17" s="131">
        <f t="shared" si="3"/>
        <v>-1</v>
      </c>
      <c r="J17" s="131">
        <f t="shared" si="4"/>
        <v>-1.40845070422535</v>
      </c>
      <c r="K17" s="156"/>
    </row>
    <row r="18" s="73" customFormat="1" spans="1:11">
      <c r="A18" s="88" t="s">
        <v>27</v>
      </c>
      <c r="B18" s="143">
        <v>250</v>
      </c>
      <c r="C18" s="143">
        <v>282</v>
      </c>
      <c r="D18" s="131">
        <f t="shared" si="0"/>
        <v>112.8</v>
      </c>
      <c r="E18" s="131">
        <v>203</v>
      </c>
      <c r="F18" s="131">
        <f t="shared" si="1"/>
        <v>79</v>
      </c>
      <c r="G18" s="131">
        <f t="shared" si="2"/>
        <v>38.9162561576355</v>
      </c>
      <c r="H18" s="143">
        <v>275</v>
      </c>
      <c r="I18" s="131">
        <f t="shared" si="3"/>
        <v>-7</v>
      </c>
      <c r="J18" s="131">
        <f t="shared" si="4"/>
        <v>-2.4822695035461</v>
      </c>
      <c r="K18" s="156"/>
    </row>
    <row r="19" s="73" customFormat="1" spans="1:11">
      <c r="A19" s="88" t="s">
        <v>28</v>
      </c>
      <c r="B19" s="143">
        <v>3</v>
      </c>
      <c r="C19" s="143">
        <v>1</v>
      </c>
      <c r="D19" s="131">
        <f t="shared" si="0"/>
        <v>33.3333333333333</v>
      </c>
      <c r="E19" s="131">
        <v>4</v>
      </c>
      <c r="F19" s="131">
        <f t="shared" si="1"/>
        <v>-3</v>
      </c>
      <c r="G19" s="131">
        <f t="shared" si="2"/>
        <v>-75</v>
      </c>
      <c r="H19" s="143"/>
      <c r="I19" s="131">
        <f t="shared" si="3"/>
        <v>-1</v>
      </c>
      <c r="J19" s="131">
        <f t="shared" si="4"/>
        <v>-100</v>
      </c>
      <c r="K19" s="156"/>
    </row>
    <row r="20" s="73" customFormat="1" spans="1:11">
      <c r="A20" s="88" t="s">
        <v>29</v>
      </c>
      <c r="B20" s="143"/>
      <c r="C20" s="143"/>
      <c r="D20" s="131" t="e">
        <f t="shared" si="0"/>
        <v>#DIV/0!</v>
      </c>
      <c r="E20" s="131"/>
      <c r="F20" s="131">
        <f t="shared" si="1"/>
        <v>0</v>
      </c>
      <c r="G20" s="131" t="e">
        <f t="shared" si="2"/>
        <v>#DIV/0!</v>
      </c>
      <c r="H20" s="143"/>
      <c r="I20" s="131">
        <f t="shared" si="3"/>
        <v>0</v>
      </c>
      <c r="J20" s="131" t="e">
        <f t="shared" si="4"/>
        <v>#DIV/0!</v>
      </c>
      <c r="K20" s="156"/>
    </row>
    <row r="21" s="73" customFormat="1" spans="1:11">
      <c r="A21" s="88" t="s">
        <v>30</v>
      </c>
      <c r="B21" s="143"/>
      <c r="C21" s="143"/>
      <c r="D21" s="131" t="e">
        <f t="shared" si="0"/>
        <v>#DIV/0!</v>
      </c>
      <c r="E21" s="131"/>
      <c r="F21" s="131">
        <f t="shared" si="1"/>
        <v>0</v>
      </c>
      <c r="G21" s="131" t="e">
        <f t="shared" si="2"/>
        <v>#DIV/0!</v>
      </c>
      <c r="H21" s="143"/>
      <c r="I21" s="131">
        <f t="shared" si="3"/>
        <v>0</v>
      </c>
      <c r="J21" s="131" t="e">
        <f t="shared" si="4"/>
        <v>#DIV/0!</v>
      </c>
      <c r="K21" s="156"/>
    </row>
    <row r="22" s="73" customFormat="1" spans="1:11">
      <c r="A22" s="88" t="s">
        <v>31</v>
      </c>
      <c r="B22" s="143"/>
      <c r="C22" s="143"/>
      <c r="D22" s="131" t="e">
        <f t="shared" si="0"/>
        <v>#DIV/0!</v>
      </c>
      <c r="E22" s="131"/>
      <c r="F22" s="131">
        <f t="shared" si="1"/>
        <v>0</v>
      </c>
      <c r="G22" s="131" t="e">
        <f t="shared" si="2"/>
        <v>#DIV/0!</v>
      </c>
      <c r="H22" s="131"/>
      <c r="I22" s="131">
        <f t="shared" si="3"/>
        <v>0</v>
      </c>
      <c r="J22" s="131" t="e">
        <f t="shared" si="4"/>
        <v>#DIV/0!</v>
      </c>
      <c r="K22" s="156"/>
    </row>
    <row r="23" s="73" customFormat="1" spans="1:11">
      <c r="A23" s="88" t="s">
        <v>32</v>
      </c>
      <c r="B23" s="143"/>
      <c r="C23" s="143">
        <v>128</v>
      </c>
      <c r="D23" s="131" t="e">
        <f t="shared" si="0"/>
        <v>#DIV/0!</v>
      </c>
      <c r="E23" s="131"/>
      <c r="F23" s="131">
        <f t="shared" si="1"/>
        <v>128</v>
      </c>
      <c r="G23" s="131" t="e">
        <f t="shared" si="2"/>
        <v>#DIV/0!</v>
      </c>
      <c r="H23" s="131">
        <v>100</v>
      </c>
      <c r="I23" s="131">
        <f t="shared" si="3"/>
        <v>-28</v>
      </c>
      <c r="J23" s="131">
        <f t="shared" si="4"/>
        <v>-21.875</v>
      </c>
      <c r="K23" s="156"/>
    </row>
    <row r="24" s="73" customFormat="1" spans="1:11">
      <c r="A24" s="88" t="s">
        <v>33</v>
      </c>
      <c r="B24" s="143"/>
      <c r="C24" s="143"/>
      <c r="D24" s="131" t="e">
        <f t="shared" si="0"/>
        <v>#DIV/0!</v>
      </c>
      <c r="E24" s="143"/>
      <c r="F24" s="131">
        <f t="shared" si="1"/>
        <v>0</v>
      </c>
      <c r="G24" s="131" t="e">
        <f t="shared" si="2"/>
        <v>#DIV/0!</v>
      </c>
      <c r="H24" s="131"/>
      <c r="I24" s="131">
        <f t="shared" si="3"/>
        <v>0</v>
      </c>
      <c r="J24" s="131" t="e">
        <f t="shared" si="4"/>
        <v>#DIV/0!</v>
      </c>
      <c r="K24" s="156"/>
    </row>
    <row r="25" s="73" customFormat="1" spans="1:11">
      <c r="A25" s="88" t="s">
        <v>34</v>
      </c>
      <c r="B25" s="143"/>
      <c r="C25" s="143"/>
      <c r="D25" s="131" t="e">
        <f t="shared" si="0"/>
        <v>#DIV/0!</v>
      </c>
      <c r="E25" s="131"/>
      <c r="F25" s="131">
        <f t="shared" si="1"/>
        <v>0</v>
      </c>
      <c r="G25" s="131" t="e">
        <f t="shared" si="2"/>
        <v>#DIV/0!</v>
      </c>
      <c r="H25" s="131"/>
      <c r="I25" s="131">
        <f t="shared" si="3"/>
        <v>0</v>
      </c>
      <c r="J25" s="131" t="e">
        <f t="shared" si="4"/>
        <v>#DIV/0!</v>
      </c>
      <c r="K25" s="156"/>
    </row>
    <row r="26" s="73" customFormat="1" spans="1:11">
      <c r="A26" s="88" t="s">
        <v>35</v>
      </c>
      <c r="B26" s="124"/>
      <c r="C26" s="131"/>
      <c r="D26" s="131" t="e">
        <f t="shared" si="0"/>
        <v>#DIV/0!</v>
      </c>
      <c r="E26" s="131"/>
      <c r="F26" s="131">
        <f t="shared" si="1"/>
        <v>0</v>
      </c>
      <c r="G26" s="131" t="e">
        <f t="shared" si="2"/>
        <v>#DIV/0!</v>
      </c>
      <c r="H26" s="131"/>
      <c r="I26" s="131">
        <f t="shared" si="3"/>
        <v>0</v>
      </c>
      <c r="J26" s="131" t="e">
        <f t="shared" si="4"/>
        <v>#DIV/0!</v>
      </c>
      <c r="K26" s="156"/>
    </row>
    <row r="27" s="73" customFormat="1" spans="1:11">
      <c r="A27" s="88" t="s">
        <v>36</v>
      </c>
      <c r="B27" s="124"/>
      <c r="C27" s="131"/>
      <c r="D27" s="131" t="e">
        <f t="shared" si="0"/>
        <v>#DIV/0!</v>
      </c>
      <c r="E27" s="131"/>
      <c r="F27" s="131">
        <f t="shared" si="1"/>
        <v>0</v>
      </c>
      <c r="G27" s="131" t="e">
        <f t="shared" si="2"/>
        <v>#DIV/0!</v>
      </c>
      <c r="H27" s="131"/>
      <c r="I27" s="131">
        <f t="shared" si="3"/>
        <v>0</v>
      </c>
      <c r="J27" s="131" t="e">
        <f t="shared" si="4"/>
        <v>#DIV/0!</v>
      </c>
      <c r="K27" s="156"/>
    </row>
    <row r="28" s="73" customFormat="1" spans="1:11">
      <c r="A28" s="105" t="s">
        <v>37</v>
      </c>
      <c r="B28" s="131">
        <f>B29+B39+B40+B41+B42+B43+B44+B45</f>
        <v>1000</v>
      </c>
      <c r="C28" s="131">
        <f>C29+C39+C40+C41+C42+C43+C44+C45</f>
        <v>1627</v>
      </c>
      <c r="D28" s="131">
        <f t="shared" si="0"/>
        <v>162.7</v>
      </c>
      <c r="E28" s="131">
        <f>E29+E39+E40+E41+E42+E43+E44+E45</f>
        <v>1133</v>
      </c>
      <c r="F28" s="131">
        <f t="shared" si="1"/>
        <v>494</v>
      </c>
      <c r="G28" s="131">
        <f t="shared" si="2"/>
        <v>43.6010591350397</v>
      </c>
      <c r="H28" s="131">
        <f>H29+H39+H40+H41+H42+H43+H44+H45</f>
        <v>1554</v>
      </c>
      <c r="I28" s="131">
        <f t="shared" si="3"/>
        <v>-73</v>
      </c>
      <c r="J28" s="131">
        <f t="shared" si="4"/>
        <v>-4.48678549477566</v>
      </c>
      <c r="K28" s="156"/>
    </row>
    <row r="29" s="73" customFormat="1" spans="1:11">
      <c r="A29" s="88" t="s">
        <v>38</v>
      </c>
      <c r="B29" s="131"/>
      <c r="C29" s="131"/>
      <c r="D29" s="131" t="e">
        <f t="shared" si="0"/>
        <v>#DIV/0!</v>
      </c>
      <c r="E29" s="144"/>
      <c r="F29" s="131">
        <f t="shared" si="1"/>
        <v>0</v>
      </c>
      <c r="G29" s="131" t="e">
        <f t="shared" si="2"/>
        <v>#DIV/0!</v>
      </c>
      <c r="H29" s="131"/>
      <c r="I29" s="131">
        <f t="shared" si="3"/>
        <v>0</v>
      </c>
      <c r="J29" s="131" t="e">
        <f t="shared" si="4"/>
        <v>#DIV/0!</v>
      </c>
      <c r="K29" s="156"/>
    </row>
    <row r="30" s="73" customFormat="1" ht="15" hidden="1" spans="1:11">
      <c r="A30" s="145" t="s">
        <v>39</v>
      </c>
      <c r="B30" s="131"/>
      <c r="C30" s="131"/>
      <c r="D30" s="131" t="e">
        <f t="shared" si="0"/>
        <v>#DIV/0!</v>
      </c>
      <c r="E30" s="131"/>
      <c r="F30" s="131">
        <f t="shared" si="1"/>
        <v>0</v>
      </c>
      <c r="G30" s="131" t="e">
        <f t="shared" si="2"/>
        <v>#DIV/0!</v>
      </c>
      <c r="H30" s="131"/>
      <c r="I30" s="131">
        <f t="shared" si="3"/>
        <v>0</v>
      </c>
      <c r="J30" s="131" t="e">
        <f t="shared" si="4"/>
        <v>#DIV/0!</v>
      </c>
      <c r="K30" s="156"/>
    </row>
    <row r="31" s="73" customFormat="1" hidden="1" spans="1:11">
      <c r="A31" s="146" t="s">
        <v>40</v>
      </c>
      <c r="B31" s="131"/>
      <c r="C31" s="131"/>
      <c r="D31" s="131" t="e">
        <f t="shared" si="0"/>
        <v>#DIV/0!</v>
      </c>
      <c r="E31" s="131"/>
      <c r="F31" s="131">
        <f t="shared" si="1"/>
        <v>0</v>
      </c>
      <c r="G31" s="131" t="e">
        <f t="shared" si="2"/>
        <v>#DIV/0!</v>
      </c>
      <c r="H31" s="131"/>
      <c r="I31" s="131">
        <f t="shared" si="3"/>
        <v>0</v>
      </c>
      <c r="J31" s="131" t="e">
        <f t="shared" si="4"/>
        <v>#DIV/0!</v>
      </c>
      <c r="K31" s="156"/>
    </row>
    <row r="32" s="73" customFormat="1" hidden="1" spans="1:11">
      <c r="A32" s="146" t="s">
        <v>41</v>
      </c>
      <c r="B32" s="131"/>
      <c r="C32" s="131"/>
      <c r="D32" s="131" t="e">
        <f t="shared" si="0"/>
        <v>#DIV/0!</v>
      </c>
      <c r="E32" s="131"/>
      <c r="F32" s="131">
        <f t="shared" si="1"/>
        <v>0</v>
      </c>
      <c r="G32" s="131" t="e">
        <f t="shared" si="2"/>
        <v>#DIV/0!</v>
      </c>
      <c r="H32" s="131"/>
      <c r="I32" s="131">
        <f t="shared" si="3"/>
        <v>0</v>
      </c>
      <c r="J32" s="131" t="e">
        <f t="shared" si="4"/>
        <v>#DIV/0!</v>
      </c>
      <c r="K32" s="156"/>
    </row>
    <row r="33" s="73" customFormat="1" hidden="1" spans="1:11">
      <c r="A33" s="146" t="s">
        <v>42</v>
      </c>
      <c r="B33" s="131"/>
      <c r="C33" s="131"/>
      <c r="D33" s="131" t="e">
        <f t="shared" si="0"/>
        <v>#DIV/0!</v>
      </c>
      <c r="E33" s="131"/>
      <c r="F33" s="131">
        <f t="shared" si="1"/>
        <v>0</v>
      </c>
      <c r="G33" s="131" t="e">
        <f t="shared" si="2"/>
        <v>#DIV/0!</v>
      </c>
      <c r="H33" s="131"/>
      <c r="I33" s="131">
        <f t="shared" si="3"/>
        <v>0</v>
      </c>
      <c r="J33" s="131" t="e">
        <f t="shared" si="4"/>
        <v>#DIV/0!</v>
      </c>
      <c r="K33" s="156"/>
    </row>
    <row r="34" s="73" customFormat="1" hidden="1" spans="1:11">
      <c r="A34" s="146" t="s">
        <v>43</v>
      </c>
      <c r="B34" s="131"/>
      <c r="C34" s="131"/>
      <c r="D34" s="131" t="e">
        <f t="shared" si="0"/>
        <v>#DIV/0!</v>
      </c>
      <c r="E34" s="131"/>
      <c r="F34" s="131">
        <f t="shared" si="1"/>
        <v>0</v>
      </c>
      <c r="G34" s="131" t="e">
        <f t="shared" si="2"/>
        <v>#DIV/0!</v>
      </c>
      <c r="H34" s="131"/>
      <c r="I34" s="131">
        <f t="shared" si="3"/>
        <v>0</v>
      </c>
      <c r="J34" s="131" t="e">
        <f t="shared" si="4"/>
        <v>#DIV/0!</v>
      </c>
      <c r="K34" s="156"/>
    </row>
    <row r="35" s="73" customFormat="1" hidden="1" spans="1:11">
      <c r="A35" s="146" t="s">
        <v>44</v>
      </c>
      <c r="B35" s="131"/>
      <c r="C35" s="131"/>
      <c r="D35" s="131" t="e">
        <f t="shared" si="0"/>
        <v>#DIV/0!</v>
      </c>
      <c r="E35" s="131"/>
      <c r="F35" s="131">
        <f t="shared" si="1"/>
        <v>0</v>
      </c>
      <c r="G35" s="131" t="e">
        <f t="shared" si="2"/>
        <v>#DIV/0!</v>
      </c>
      <c r="H35" s="131"/>
      <c r="I35" s="131">
        <f t="shared" si="3"/>
        <v>0</v>
      </c>
      <c r="J35" s="131" t="e">
        <f t="shared" si="4"/>
        <v>#DIV/0!</v>
      </c>
      <c r="K35" s="156"/>
    </row>
    <row r="36" s="73" customFormat="1" hidden="1" spans="1:11">
      <c r="A36" s="146" t="s">
        <v>45</v>
      </c>
      <c r="B36" s="131"/>
      <c r="C36" s="131"/>
      <c r="D36" s="131" t="e">
        <f t="shared" si="0"/>
        <v>#DIV/0!</v>
      </c>
      <c r="E36" s="131"/>
      <c r="F36" s="131">
        <f t="shared" si="1"/>
        <v>0</v>
      </c>
      <c r="G36" s="131" t="e">
        <f t="shared" si="2"/>
        <v>#DIV/0!</v>
      </c>
      <c r="H36" s="131"/>
      <c r="I36" s="131">
        <f t="shared" si="3"/>
        <v>0</v>
      </c>
      <c r="J36" s="131" t="e">
        <f t="shared" si="4"/>
        <v>#DIV/0!</v>
      </c>
      <c r="K36" s="156"/>
    </row>
    <row r="37" s="73" customFormat="1" hidden="1" spans="1:11">
      <c r="A37" s="146" t="s">
        <v>46</v>
      </c>
      <c r="B37" s="131"/>
      <c r="C37" s="131"/>
      <c r="D37" s="131" t="e">
        <f t="shared" si="0"/>
        <v>#DIV/0!</v>
      </c>
      <c r="E37" s="131"/>
      <c r="F37" s="131">
        <f t="shared" si="1"/>
        <v>0</v>
      </c>
      <c r="G37" s="131" t="e">
        <f t="shared" si="2"/>
        <v>#DIV/0!</v>
      </c>
      <c r="H37" s="131"/>
      <c r="I37" s="131">
        <f t="shared" si="3"/>
        <v>0</v>
      </c>
      <c r="J37" s="131" t="e">
        <f t="shared" si="4"/>
        <v>#DIV/0!</v>
      </c>
      <c r="K37" s="156"/>
    </row>
    <row r="38" s="73" customFormat="1" ht="15" hidden="1" spans="1:11">
      <c r="A38" s="145" t="s">
        <v>47</v>
      </c>
      <c r="B38" s="131"/>
      <c r="C38" s="131"/>
      <c r="D38" s="131" t="e">
        <f t="shared" si="0"/>
        <v>#DIV/0!</v>
      </c>
      <c r="E38" s="143"/>
      <c r="F38" s="131">
        <f t="shared" si="1"/>
        <v>0</v>
      </c>
      <c r="G38" s="131" t="e">
        <f t="shared" si="2"/>
        <v>#DIV/0!</v>
      </c>
      <c r="H38" s="143"/>
      <c r="I38" s="131">
        <f t="shared" si="3"/>
        <v>0</v>
      </c>
      <c r="J38" s="131" t="e">
        <f t="shared" si="4"/>
        <v>#DIV/0!</v>
      </c>
      <c r="K38" s="156"/>
    </row>
    <row r="39" s="73" customFormat="1" spans="1:11">
      <c r="A39" s="88" t="s">
        <v>48</v>
      </c>
      <c r="B39" s="143">
        <v>100</v>
      </c>
      <c r="C39" s="143">
        <v>315</v>
      </c>
      <c r="D39" s="131">
        <f t="shared" si="0"/>
        <v>315</v>
      </c>
      <c r="E39" s="143">
        <v>122</v>
      </c>
      <c r="F39" s="131">
        <f t="shared" si="1"/>
        <v>193</v>
      </c>
      <c r="G39" s="131">
        <f t="shared" si="2"/>
        <v>158.196721311475</v>
      </c>
      <c r="H39" s="143">
        <v>200</v>
      </c>
      <c r="I39" s="131">
        <f t="shared" si="3"/>
        <v>-115</v>
      </c>
      <c r="J39" s="131">
        <f t="shared" si="4"/>
        <v>-36.5079365079365</v>
      </c>
      <c r="K39" s="156"/>
    </row>
    <row r="40" s="73" customFormat="1" spans="1:11">
      <c r="A40" s="88" t="s">
        <v>49</v>
      </c>
      <c r="B40" s="143">
        <v>200</v>
      </c>
      <c r="C40" s="143">
        <v>522</v>
      </c>
      <c r="D40" s="131">
        <f t="shared" si="0"/>
        <v>261</v>
      </c>
      <c r="E40" s="143">
        <v>198</v>
      </c>
      <c r="F40" s="131">
        <f t="shared" si="1"/>
        <v>324</v>
      </c>
      <c r="G40" s="131">
        <f t="shared" si="2"/>
        <v>163.636363636364</v>
      </c>
      <c r="H40" s="143">
        <v>500</v>
      </c>
      <c r="I40" s="131">
        <f t="shared" si="3"/>
        <v>-22</v>
      </c>
      <c r="J40" s="131">
        <f t="shared" si="4"/>
        <v>-4.21455938697318</v>
      </c>
      <c r="K40" s="156"/>
    </row>
    <row r="41" s="73" customFormat="1" spans="1:11">
      <c r="A41" s="88" t="s">
        <v>50</v>
      </c>
      <c r="B41" s="143"/>
      <c r="C41" s="143"/>
      <c r="D41" s="131" t="e">
        <f t="shared" si="0"/>
        <v>#DIV/0!</v>
      </c>
      <c r="E41" s="143"/>
      <c r="F41" s="131">
        <f t="shared" si="1"/>
        <v>0</v>
      </c>
      <c r="G41" s="131" t="e">
        <f t="shared" si="2"/>
        <v>#DIV/0!</v>
      </c>
      <c r="H41" s="143"/>
      <c r="I41" s="131">
        <f t="shared" si="3"/>
        <v>0</v>
      </c>
      <c r="J41" s="131" t="e">
        <f t="shared" si="4"/>
        <v>#DIV/0!</v>
      </c>
      <c r="K41" s="156"/>
    </row>
    <row r="42" s="73" customFormat="1" spans="1:11">
      <c r="A42" s="86" t="s">
        <v>51</v>
      </c>
      <c r="B42" s="143">
        <v>700</v>
      </c>
      <c r="C42" s="143">
        <v>760</v>
      </c>
      <c r="D42" s="131">
        <f t="shared" si="0"/>
        <v>108.571428571429</v>
      </c>
      <c r="E42" s="143">
        <v>791</v>
      </c>
      <c r="F42" s="131">
        <f t="shared" si="1"/>
        <v>-31</v>
      </c>
      <c r="G42" s="131">
        <f t="shared" si="2"/>
        <v>-3.91908975979772</v>
      </c>
      <c r="H42" s="143">
        <f>254+600</f>
        <v>854</v>
      </c>
      <c r="I42" s="131">
        <f t="shared" si="3"/>
        <v>94</v>
      </c>
      <c r="J42" s="131">
        <f t="shared" si="4"/>
        <v>12.3684210526316</v>
      </c>
      <c r="K42" s="156"/>
    </row>
    <row r="43" s="73" customFormat="1" spans="1:11">
      <c r="A43" s="88" t="s">
        <v>52</v>
      </c>
      <c r="B43" s="143"/>
      <c r="C43" s="143"/>
      <c r="D43" s="131" t="e">
        <f t="shared" si="0"/>
        <v>#DIV/0!</v>
      </c>
      <c r="E43" s="144"/>
      <c r="F43" s="88">
        <f t="shared" si="1"/>
        <v>0</v>
      </c>
      <c r="G43" s="131" t="e">
        <f t="shared" si="2"/>
        <v>#DIV/0!</v>
      </c>
      <c r="H43" s="88"/>
      <c r="I43" s="131">
        <f t="shared" si="3"/>
        <v>0</v>
      </c>
      <c r="J43" s="131" t="e">
        <f t="shared" si="4"/>
        <v>#DIV/0!</v>
      </c>
      <c r="K43" s="156"/>
    </row>
    <row r="44" s="73" customFormat="1" spans="1:11">
      <c r="A44" s="88" t="s">
        <v>53</v>
      </c>
      <c r="B44" s="143"/>
      <c r="C44" s="143">
        <v>30</v>
      </c>
      <c r="D44" s="131" t="e">
        <f t="shared" si="0"/>
        <v>#DIV/0!</v>
      </c>
      <c r="E44" s="143">
        <v>22</v>
      </c>
      <c r="F44" s="88">
        <f t="shared" si="1"/>
        <v>8</v>
      </c>
      <c r="G44" s="131">
        <f t="shared" si="2"/>
        <v>36.3636363636364</v>
      </c>
      <c r="H44" s="88"/>
      <c r="I44" s="131">
        <f t="shared" si="3"/>
        <v>-30</v>
      </c>
      <c r="J44" s="131">
        <f t="shared" si="4"/>
        <v>-100</v>
      </c>
      <c r="K44" s="156"/>
    </row>
    <row r="45" s="73" customFormat="1" spans="1:11">
      <c r="A45" s="88" t="s">
        <v>54</v>
      </c>
      <c r="B45" s="88"/>
      <c r="C45" s="88"/>
      <c r="D45" s="131" t="e">
        <f t="shared" si="0"/>
        <v>#DIV/0!</v>
      </c>
      <c r="E45" s="144"/>
      <c r="F45" s="88">
        <f t="shared" si="1"/>
        <v>0</v>
      </c>
      <c r="G45" s="88" t="e">
        <f t="shared" si="2"/>
        <v>#DIV/0!</v>
      </c>
      <c r="H45" s="88"/>
      <c r="I45" s="131">
        <f t="shared" si="3"/>
        <v>0</v>
      </c>
      <c r="J45" s="131" t="e">
        <f t="shared" si="4"/>
        <v>#DIV/0!</v>
      </c>
      <c r="K45" s="156"/>
    </row>
    <row r="46" s="73" customFormat="1" spans="1:11">
      <c r="A46" s="147" t="s">
        <v>55</v>
      </c>
      <c r="B46" s="105">
        <f>B28+B7</f>
        <v>3667</v>
      </c>
      <c r="C46" s="105">
        <f>C28+C7</f>
        <v>5070</v>
      </c>
      <c r="D46" s="131">
        <f t="shared" si="0"/>
        <v>138.260158167439</v>
      </c>
      <c r="E46" s="105">
        <f>E28+E7</f>
        <v>4690</v>
      </c>
      <c r="F46" s="105">
        <f t="shared" si="1"/>
        <v>380</v>
      </c>
      <c r="G46" s="105">
        <f t="shared" si="2"/>
        <v>8.10234541577825</v>
      </c>
      <c r="H46" s="105">
        <f>H28+H7</f>
        <v>5324</v>
      </c>
      <c r="I46" s="105">
        <f t="shared" si="3"/>
        <v>254</v>
      </c>
      <c r="J46" s="105">
        <f t="shared" si="4"/>
        <v>5.00986193293886</v>
      </c>
      <c r="K46" s="156"/>
    </row>
    <row r="47" s="73" customFormat="1" spans="1:11">
      <c r="A47" s="147" t="s">
        <v>56</v>
      </c>
      <c r="B47" s="105">
        <f>B48+B120+B123+B126+B127+B128+B129</f>
        <v>52975</v>
      </c>
      <c r="C47" s="105">
        <f>C48+C120+C123+C126+C127+C128+C129</f>
        <v>57113</v>
      </c>
      <c r="D47" s="148"/>
      <c r="E47" s="105">
        <f>E48+E120+E123+E126+E127+E128+E129</f>
        <v>61122</v>
      </c>
      <c r="F47" s="105"/>
      <c r="G47" s="148"/>
      <c r="H47" s="105">
        <f>H48+H120+H123+H126+H127+H128+H129</f>
        <v>45565</v>
      </c>
      <c r="I47" s="105"/>
      <c r="J47" s="105"/>
      <c r="K47" s="156"/>
    </row>
    <row r="48" s="73" customFormat="1" spans="1:11">
      <c r="A48" s="86" t="s">
        <v>57</v>
      </c>
      <c r="B48" s="88">
        <f>B49+B56+B98</f>
        <v>38043</v>
      </c>
      <c r="C48" s="88">
        <f>C49+C56+C98</f>
        <v>44266</v>
      </c>
      <c r="D48" s="149"/>
      <c r="E48" s="88">
        <f>E49+E56+E98</f>
        <v>55855</v>
      </c>
      <c r="F48" s="88"/>
      <c r="G48" s="149"/>
      <c r="H48" s="88">
        <f>H49+H56+H98</f>
        <v>41706</v>
      </c>
      <c r="I48" s="88"/>
      <c r="J48" s="88"/>
      <c r="K48" s="156"/>
    </row>
    <row r="49" s="73" customFormat="1" spans="1:11">
      <c r="A49" s="86" t="s">
        <v>58</v>
      </c>
      <c r="B49" s="88">
        <f>SUM(B50:B55)</f>
        <v>1961</v>
      </c>
      <c r="C49" s="88">
        <f>SUM(C50:C55)</f>
        <v>1961</v>
      </c>
      <c r="D49" s="149"/>
      <c r="E49" s="88">
        <f>SUM(E50:E55)</f>
        <v>2053</v>
      </c>
      <c r="F49" s="88"/>
      <c r="G49" s="149"/>
      <c r="H49" s="88">
        <f>SUM(H50:H55)</f>
        <v>1952</v>
      </c>
      <c r="I49" s="88"/>
      <c r="J49" s="88"/>
      <c r="K49" s="156"/>
    </row>
    <row r="50" s="73" customFormat="1" spans="1:11">
      <c r="A50" s="86" t="s">
        <v>59</v>
      </c>
      <c r="B50" s="143">
        <v>378</v>
      </c>
      <c r="C50" s="143">
        <v>378</v>
      </c>
      <c r="D50" s="149"/>
      <c r="E50" s="143">
        <v>378</v>
      </c>
      <c r="F50" s="88"/>
      <c r="G50" s="149"/>
      <c r="H50" s="143">
        <v>378</v>
      </c>
      <c r="I50" s="88"/>
      <c r="J50" s="88"/>
      <c r="K50" s="156"/>
    </row>
    <row r="51" s="73" customFormat="1" spans="1:11">
      <c r="A51" s="86" t="s">
        <v>60</v>
      </c>
      <c r="B51" s="143"/>
      <c r="C51" s="143"/>
      <c r="D51" s="149"/>
      <c r="E51" s="143">
        <v>92</v>
      </c>
      <c r="F51" s="88"/>
      <c r="G51" s="149"/>
      <c r="H51" s="143"/>
      <c r="I51" s="88"/>
      <c r="J51" s="88"/>
      <c r="K51" s="156"/>
    </row>
    <row r="52" s="73" customFormat="1" spans="1:11">
      <c r="A52" s="86" t="s">
        <v>61</v>
      </c>
      <c r="B52" s="143">
        <v>1215</v>
      </c>
      <c r="C52" s="143">
        <v>1215</v>
      </c>
      <c r="D52" s="149"/>
      <c r="E52" s="143">
        <v>473</v>
      </c>
      <c r="F52" s="88"/>
      <c r="G52" s="149"/>
      <c r="H52" s="143">
        <v>473</v>
      </c>
      <c r="I52" s="88"/>
      <c r="J52" s="88"/>
      <c r="K52" s="156"/>
    </row>
    <row r="53" s="73" customFormat="1" spans="1:11">
      <c r="A53" s="86" t="s">
        <v>62</v>
      </c>
      <c r="B53" s="143"/>
      <c r="C53" s="143"/>
      <c r="D53" s="149"/>
      <c r="E53" s="143"/>
      <c r="F53" s="88"/>
      <c r="G53" s="149"/>
      <c r="H53" s="143"/>
      <c r="I53" s="88"/>
      <c r="J53" s="88"/>
      <c r="K53" s="156"/>
    </row>
    <row r="54" s="73" customFormat="1" spans="1:11">
      <c r="A54" s="86" t="s">
        <v>63</v>
      </c>
      <c r="B54" s="143">
        <v>368</v>
      </c>
      <c r="C54" s="143">
        <v>368</v>
      </c>
      <c r="D54" s="149"/>
      <c r="E54" s="143">
        <v>742</v>
      </c>
      <c r="F54" s="88"/>
      <c r="G54" s="149"/>
      <c r="H54" s="143">
        <v>733</v>
      </c>
      <c r="I54" s="88"/>
      <c r="J54" s="88"/>
      <c r="K54" s="156"/>
    </row>
    <row r="55" s="73" customFormat="1" spans="1:11">
      <c r="A55" s="86" t="s">
        <v>64</v>
      </c>
      <c r="B55" s="88"/>
      <c r="C55" s="88"/>
      <c r="D55" s="149"/>
      <c r="E55" s="88">
        <v>368</v>
      </c>
      <c r="F55" s="88"/>
      <c r="G55" s="149"/>
      <c r="H55" s="88">
        <v>368</v>
      </c>
      <c r="I55" s="88"/>
      <c r="J55" s="88"/>
      <c r="K55" s="156"/>
    </row>
    <row r="56" s="73" customFormat="1" spans="1:11">
      <c r="A56" s="86" t="s">
        <v>65</v>
      </c>
      <c r="B56" s="88">
        <f>SUM(B57:B97)</f>
        <v>34604</v>
      </c>
      <c r="C56" s="88">
        <v>29513</v>
      </c>
      <c r="D56" s="149"/>
      <c r="E56" s="88">
        <f>SUM(E57:E97)</f>
        <v>30895</v>
      </c>
      <c r="F56" s="88"/>
      <c r="G56" s="149"/>
      <c r="H56" s="88">
        <f>SUM(H57:H97)</f>
        <v>37897</v>
      </c>
      <c r="I56" s="88"/>
      <c r="J56" s="88"/>
      <c r="K56" s="156"/>
    </row>
    <row r="57" s="73" customFormat="1" spans="1:11">
      <c r="A57" s="150" t="s">
        <v>66</v>
      </c>
      <c r="B57" s="143">
        <v>2785</v>
      </c>
      <c r="C57" s="143">
        <v>2785</v>
      </c>
      <c r="D57" s="149"/>
      <c r="E57" s="143">
        <v>2915</v>
      </c>
      <c r="F57" s="88"/>
      <c r="G57" s="149"/>
      <c r="H57" s="143">
        <f>130+2785</f>
        <v>2915</v>
      </c>
      <c r="I57" s="88"/>
      <c r="J57" s="88"/>
      <c r="K57" s="156"/>
    </row>
    <row r="58" s="73" customFormat="1" spans="1:11">
      <c r="A58" s="150" t="s">
        <v>67</v>
      </c>
      <c r="B58" s="143">
        <v>4200</v>
      </c>
      <c r="C58" s="143">
        <v>1945</v>
      </c>
      <c r="D58" s="149"/>
      <c r="E58" s="143">
        <v>2202</v>
      </c>
      <c r="F58" s="88"/>
      <c r="G58" s="149"/>
      <c r="H58" s="143">
        <f>5+1795</f>
        <v>1800</v>
      </c>
      <c r="I58" s="88"/>
      <c r="J58" s="88"/>
      <c r="K58" s="156"/>
    </row>
    <row r="59" s="73" customFormat="1" spans="1:11">
      <c r="A59" s="150" t="s">
        <v>68</v>
      </c>
      <c r="B59" s="143">
        <v>16200</v>
      </c>
      <c r="C59" s="143">
        <f>4893+3006</f>
        <v>7899</v>
      </c>
      <c r="D59" s="149"/>
      <c r="E59" s="143">
        <v>8073</v>
      </c>
      <c r="F59" s="88"/>
      <c r="G59" s="149"/>
      <c r="H59" s="143">
        <f>1799+16201</f>
        <v>18000</v>
      </c>
      <c r="I59" s="88"/>
      <c r="J59" s="88"/>
      <c r="K59" s="156"/>
    </row>
    <row r="60" s="73" customFormat="1" spans="1:11">
      <c r="A60" s="150" t="s">
        <v>69</v>
      </c>
      <c r="B60" s="143">
        <v>684</v>
      </c>
      <c r="C60" s="143">
        <v>490</v>
      </c>
      <c r="D60" s="149"/>
      <c r="E60" s="143">
        <v>1793</v>
      </c>
      <c r="F60" s="88"/>
      <c r="G60" s="149"/>
      <c r="H60" s="143">
        <f>79+301</f>
        <v>380</v>
      </c>
      <c r="I60" s="88"/>
      <c r="J60" s="88"/>
      <c r="K60" s="156"/>
    </row>
    <row r="61" s="73" customFormat="1" spans="1:11">
      <c r="A61" s="150" t="s">
        <v>70</v>
      </c>
      <c r="B61" s="143"/>
      <c r="C61" s="143"/>
      <c r="D61" s="149"/>
      <c r="E61" s="143"/>
      <c r="F61" s="88"/>
      <c r="G61" s="149"/>
      <c r="H61" s="143"/>
      <c r="I61" s="88"/>
      <c r="J61" s="88"/>
      <c r="K61" s="156"/>
    </row>
    <row r="62" s="73" customFormat="1" spans="1:11">
      <c r="A62" s="150" t="s">
        <v>71</v>
      </c>
      <c r="B62" s="143"/>
      <c r="C62" s="143"/>
      <c r="D62" s="149"/>
      <c r="E62" s="143"/>
      <c r="F62" s="88"/>
      <c r="G62" s="149"/>
      <c r="H62" s="143"/>
      <c r="I62" s="88"/>
      <c r="J62" s="88"/>
      <c r="K62" s="156"/>
    </row>
    <row r="63" s="73" customFormat="1" spans="1:11">
      <c r="A63" s="150" t="s">
        <v>72</v>
      </c>
      <c r="B63" s="143"/>
      <c r="C63" s="143">
        <v>59</v>
      </c>
      <c r="D63" s="149"/>
      <c r="E63" s="143">
        <v>46</v>
      </c>
      <c r="F63" s="88"/>
      <c r="G63" s="149"/>
      <c r="H63" s="143"/>
      <c r="I63" s="88"/>
      <c r="J63" s="88"/>
      <c r="K63" s="156"/>
    </row>
    <row r="64" s="73" customFormat="1" spans="1:11">
      <c r="A64" s="150" t="s">
        <v>73</v>
      </c>
      <c r="B64" s="143">
        <v>1606</v>
      </c>
      <c r="C64" s="143"/>
      <c r="D64" s="149"/>
      <c r="E64" s="143"/>
      <c r="F64" s="88"/>
      <c r="G64" s="149"/>
      <c r="H64" s="143"/>
      <c r="I64" s="88"/>
      <c r="J64" s="88"/>
      <c r="K64" s="156"/>
    </row>
    <row r="65" s="73" customFormat="1" spans="1:11">
      <c r="A65" s="150" t="s">
        <v>74</v>
      </c>
      <c r="B65" s="143">
        <v>1250</v>
      </c>
      <c r="C65" s="143">
        <v>2160</v>
      </c>
      <c r="D65" s="149"/>
      <c r="E65" s="143">
        <v>1758</v>
      </c>
      <c r="F65" s="88"/>
      <c r="G65" s="149"/>
      <c r="H65" s="143">
        <v>1758</v>
      </c>
      <c r="I65" s="88"/>
      <c r="J65" s="88"/>
      <c r="K65" s="156"/>
    </row>
    <row r="66" s="73" customFormat="1" spans="1:11">
      <c r="A66" s="150" t="s">
        <v>75</v>
      </c>
      <c r="B66" s="143"/>
      <c r="C66" s="143"/>
      <c r="D66" s="149"/>
      <c r="E66" s="143"/>
      <c r="F66" s="88"/>
      <c r="G66" s="149"/>
      <c r="H66" s="143"/>
      <c r="I66" s="88"/>
      <c r="J66" s="88"/>
      <c r="K66" s="156"/>
    </row>
    <row r="67" s="73" customFormat="1" spans="1:11">
      <c r="A67" s="150" t="s">
        <v>76</v>
      </c>
      <c r="B67" s="143">
        <v>13</v>
      </c>
      <c r="C67" s="143">
        <v>13</v>
      </c>
      <c r="D67" s="149"/>
      <c r="E67" s="143"/>
      <c r="F67" s="88"/>
      <c r="G67" s="149"/>
      <c r="H67" s="143"/>
      <c r="I67" s="88"/>
      <c r="J67" s="88"/>
      <c r="K67" s="156"/>
    </row>
    <row r="68" s="73" customFormat="1" spans="1:11">
      <c r="A68" s="150" t="s">
        <v>77</v>
      </c>
      <c r="B68" s="143"/>
      <c r="C68" s="143"/>
      <c r="D68" s="149"/>
      <c r="E68" s="143"/>
      <c r="F68" s="88"/>
      <c r="G68" s="149"/>
      <c r="H68" s="143"/>
      <c r="I68" s="88"/>
      <c r="J68" s="88"/>
      <c r="K68" s="156"/>
    </row>
    <row r="69" s="73" customFormat="1" spans="1:11">
      <c r="A69" s="150" t="s">
        <v>78</v>
      </c>
      <c r="B69" s="143">
        <v>1000</v>
      </c>
      <c r="C69" s="143">
        <f>198+2186</f>
        <v>2384</v>
      </c>
      <c r="D69" s="149"/>
      <c r="E69" s="143">
        <v>1457</v>
      </c>
      <c r="F69" s="88"/>
      <c r="G69" s="149"/>
      <c r="H69" s="143">
        <v>3781</v>
      </c>
      <c r="I69" s="88"/>
      <c r="J69" s="88"/>
      <c r="K69" s="156"/>
    </row>
    <row r="70" s="73" customFormat="1" spans="1:11">
      <c r="A70" s="150" t="s">
        <v>79</v>
      </c>
      <c r="B70" s="143"/>
      <c r="C70" s="143"/>
      <c r="D70" s="149"/>
      <c r="E70" s="143"/>
      <c r="F70" s="88"/>
      <c r="G70" s="149"/>
      <c r="H70" s="143"/>
      <c r="I70" s="88"/>
      <c r="J70" s="88"/>
      <c r="K70" s="156"/>
    </row>
    <row r="71" s="73" customFormat="1" spans="1:11">
      <c r="A71" s="150" t="s">
        <v>80</v>
      </c>
      <c r="B71" s="143"/>
      <c r="C71" s="143"/>
      <c r="D71" s="149"/>
      <c r="E71" s="143"/>
      <c r="F71" s="88"/>
      <c r="G71" s="149"/>
      <c r="H71" s="143"/>
      <c r="I71" s="88"/>
      <c r="J71" s="88"/>
      <c r="K71" s="156"/>
    </row>
    <row r="72" s="73" customFormat="1" spans="1:11">
      <c r="A72" s="150" t="s">
        <v>81</v>
      </c>
      <c r="B72" s="143"/>
      <c r="C72" s="143"/>
      <c r="D72" s="149"/>
      <c r="E72" s="143"/>
      <c r="F72" s="88"/>
      <c r="G72" s="149"/>
      <c r="H72" s="143"/>
      <c r="I72" s="88"/>
      <c r="J72" s="88"/>
      <c r="K72" s="156"/>
    </row>
    <row r="73" s="73" customFormat="1" spans="1:11">
      <c r="A73" s="150" t="s">
        <v>82</v>
      </c>
      <c r="B73" s="143">
        <v>521</v>
      </c>
      <c r="C73" s="143">
        <v>653</v>
      </c>
      <c r="D73" s="149"/>
      <c r="E73" s="143">
        <v>541</v>
      </c>
      <c r="F73" s="88"/>
      <c r="G73" s="149"/>
      <c r="H73" s="143">
        <v>100</v>
      </c>
      <c r="I73" s="88"/>
      <c r="J73" s="88"/>
      <c r="K73" s="156"/>
    </row>
    <row r="74" s="73" customFormat="1" spans="1:11">
      <c r="A74" s="150" t="s">
        <v>83</v>
      </c>
      <c r="B74" s="143">
        <v>4</v>
      </c>
      <c r="C74" s="143">
        <f>54+1941</f>
        <v>1995</v>
      </c>
      <c r="D74" s="149"/>
      <c r="E74" s="143">
        <v>1668</v>
      </c>
      <c r="F74" s="88"/>
      <c r="G74" s="149"/>
      <c r="H74" s="143">
        <v>1816</v>
      </c>
      <c r="I74" s="88"/>
      <c r="J74" s="88"/>
      <c r="K74" s="156"/>
    </row>
    <row r="75" s="73" customFormat="1" spans="1:11">
      <c r="A75" s="150" t="s">
        <v>84</v>
      </c>
      <c r="B75" s="143"/>
      <c r="C75" s="143"/>
      <c r="D75" s="149"/>
      <c r="E75" s="143"/>
      <c r="F75" s="88"/>
      <c r="G75" s="149"/>
      <c r="H75" s="143"/>
      <c r="I75" s="88"/>
      <c r="J75" s="88"/>
      <c r="K75" s="156"/>
    </row>
    <row r="76" s="73" customFormat="1" spans="1:11">
      <c r="A76" s="150" t="s">
        <v>85</v>
      </c>
      <c r="B76" s="143"/>
      <c r="C76" s="143">
        <v>10</v>
      </c>
      <c r="D76" s="149"/>
      <c r="E76" s="143">
        <v>108</v>
      </c>
      <c r="F76" s="88"/>
      <c r="G76" s="149"/>
      <c r="H76" s="143">
        <v>111</v>
      </c>
      <c r="I76" s="88"/>
      <c r="J76" s="88"/>
      <c r="K76" s="156"/>
    </row>
    <row r="77" s="73" customFormat="1" spans="1:11">
      <c r="A77" s="150" t="s">
        <v>86</v>
      </c>
      <c r="B77" s="143">
        <v>2711</v>
      </c>
      <c r="C77" s="143">
        <v>3704</v>
      </c>
      <c r="D77" s="149"/>
      <c r="E77" s="143">
        <v>3020</v>
      </c>
      <c r="F77" s="88"/>
      <c r="G77" s="149"/>
      <c r="H77" s="143">
        <v>4007</v>
      </c>
      <c r="I77" s="88"/>
      <c r="J77" s="88"/>
      <c r="K77" s="156"/>
    </row>
    <row r="78" s="73" customFormat="1" spans="1:11">
      <c r="A78" s="150" t="s">
        <v>87</v>
      </c>
      <c r="B78" s="143">
        <v>1005</v>
      </c>
      <c r="C78" s="143">
        <f>50+1334</f>
        <v>1384</v>
      </c>
      <c r="D78" s="149"/>
      <c r="E78" s="143">
        <v>1555</v>
      </c>
      <c r="F78" s="88"/>
      <c r="G78" s="149"/>
      <c r="H78" s="143">
        <v>1251</v>
      </c>
      <c r="I78" s="88"/>
      <c r="J78" s="88"/>
      <c r="K78" s="156"/>
    </row>
    <row r="79" s="73" customFormat="1" spans="1:11">
      <c r="A79" s="150" t="s">
        <v>88</v>
      </c>
      <c r="B79" s="143"/>
      <c r="C79" s="143"/>
      <c r="D79" s="149"/>
      <c r="E79" s="143"/>
      <c r="F79" s="88"/>
      <c r="G79" s="149"/>
      <c r="H79" s="143"/>
      <c r="I79" s="88"/>
      <c r="J79" s="88"/>
      <c r="K79" s="156"/>
    </row>
    <row r="80" s="73" customFormat="1" spans="1:11">
      <c r="A80" s="150" t="s">
        <v>89</v>
      </c>
      <c r="B80" s="143"/>
      <c r="C80" s="143"/>
      <c r="D80" s="149"/>
      <c r="E80" s="143"/>
      <c r="F80" s="88"/>
      <c r="G80" s="149"/>
      <c r="H80" s="143"/>
      <c r="I80" s="88"/>
      <c r="J80" s="88"/>
      <c r="K80" s="156"/>
    </row>
    <row r="81" s="73" customFormat="1" spans="1:11">
      <c r="A81" s="150" t="s">
        <v>90</v>
      </c>
      <c r="B81" s="143">
        <v>2408</v>
      </c>
      <c r="C81" s="143">
        <v>3054</v>
      </c>
      <c r="D81" s="149"/>
      <c r="E81" s="143">
        <v>3842</v>
      </c>
      <c r="F81" s="88"/>
      <c r="G81" s="149"/>
      <c r="H81" s="143">
        <v>1766</v>
      </c>
      <c r="I81" s="88"/>
      <c r="J81" s="88"/>
      <c r="K81" s="156"/>
    </row>
    <row r="82" s="73" customFormat="1" spans="1:11">
      <c r="A82" s="150" t="s">
        <v>91</v>
      </c>
      <c r="B82" s="143">
        <v>126</v>
      </c>
      <c r="C82" s="143">
        <v>496</v>
      </c>
      <c r="D82" s="149"/>
      <c r="E82" s="143">
        <v>858</v>
      </c>
      <c r="F82" s="88"/>
      <c r="G82" s="149"/>
      <c r="H82" s="143">
        <v>148</v>
      </c>
      <c r="I82" s="88"/>
      <c r="J82" s="88"/>
      <c r="K82" s="156"/>
    </row>
    <row r="83" s="73" customFormat="1" spans="1:11">
      <c r="A83" s="150" t="s">
        <v>92</v>
      </c>
      <c r="B83" s="143"/>
      <c r="C83" s="143"/>
      <c r="D83" s="149"/>
      <c r="E83" s="143"/>
      <c r="F83" s="88"/>
      <c r="G83" s="149"/>
      <c r="H83" s="143"/>
      <c r="I83" s="88"/>
      <c r="J83" s="88"/>
      <c r="K83" s="156"/>
    </row>
    <row r="84" s="73" customFormat="1" spans="1:11">
      <c r="A84" s="150" t="s">
        <v>93</v>
      </c>
      <c r="B84" s="143"/>
      <c r="C84" s="143"/>
      <c r="D84" s="149"/>
      <c r="E84" s="143"/>
      <c r="F84" s="88"/>
      <c r="G84" s="149"/>
      <c r="H84" s="143"/>
      <c r="I84" s="88"/>
      <c r="J84" s="88"/>
      <c r="K84" s="156"/>
    </row>
    <row r="85" s="73" customFormat="1" spans="1:11">
      <c r="A85" s="150" t="s">
        <v>94</v>
      </c>
      <c r="B85" s="143"/>
      <c r="C85" s="143"/>
      <c r="D85" s="149"/>
      <c r="E85" s="143"/>
      <c r="F85" s="88"/>
      <c r="G85" s="149"/>
      <c r="H85" s="143"/>
      <c r="I85" s="88"/>
      <c r="J85" s="88"/>
      <c r="K85" s="156"/>
    </row>
    <row r="86" s="73" customFormat="1" ht="27" spans="1:11">
      <c r="A86" s="150" t="s">
        <v>95</v>
      </c>
      <c r="B86" s="143"/>
      <c r="C86" s="143"/>
      <c r="D86" s="149"/>
      <c r="E86" s="143"/>
      <c r="F86" s="88"/>
      <c r="G86" s="149"/>
      <c r="H86" s="143"/>
      <c r="I86" s="88"/>
      <c r="J86" s="88"/>
      <c r="K86" s="156"/>
    </row>
    <row r="87" s="73" customFormat="1" spans="1:11">
      <c r="A87" s="150" t="s">
        <v>96</v>
      </c>
      <c r="B87" s="143">
        <v>26</v>
      </c>
      <c r="C87" s="143">
        <v>34</v>
      </c>
      <c r="D87" s="149"/>
      <c r="E87" s="143">
        <v>148</v>
      </c>
      <c r="F87" s="88"/>
      <c r="G87" s="149"/>
      <c r="H87" s="143">
        <v>3</v>
      </c>
      <c r="I87" s="88"/>
      <c r="J87" s="88"/>
      <c r="K87" s="156"/>
    </row>
    <row r="88" s="73" customFormat="1" spans="1:11">
      <c r="A88" s="150" t="s">
        <v>97</v>
      </c>
      <c r="B88" s="143"/>
      <c r="C88" s="143"/>
      <c r="D88" s="149"/>
      <c r="E88" s="143"/>
      <c r="F88" s="88"/>
      <c r="G88" s="149"/>
      <c r="H88" s="143"/>
      <c r="I88" s="88"/>
      <c r="J88" s="88"/>
      <c r="K88" s="156"/>
    </row>
    <row r="89" s="73" customFormat="1" spans="1:11">
      <c r="A89" s="150" t="s">
        <v>98</v>
      </c>
      <c r="B89" s="143"/>
      <c r="C89" s="143">
        <v>79</v>
      </c>
      <c r="D89" s="149"/>
      <c r="E89" s="143">
        <v>531</v>
      </c>
      <c r="F89" s="88"/>
      <c r="G89" s="149"/>
      <c r="H89" s="143"/>
      <c r="I89" s="88"/>
      <c r="J89" s="88"/>
      <c r="K89" s="156"/>
    </row>
    <row r="90" s="73" customFormat="1" spans="1:11">
      <c r="A90" s="150" t="s">
        <v>99</v>
      </c>
      <c r="B90" s="143"/>
      <c r="C90" s="143"/>
      <c r="D90" s="149"/>
      <c r="E90" s="143"/>
      <c r="F90" s="88"/>
      <c r="G90" s="149"/>
      <c r="H90" s="143"/>
      <c r="I90" s="88"/>
      <c r="J90" s="88"/>
      <c r="K90" s="156"/>
    </row>
    <row r="91" s="73" customFormat="1" spans="1:11">
      <c r="A91" s="150" t="s">
        <v>100</v>
      </c>
      <c r="B91" s="143"/>
      <c r="D91" s="149"/>
      <c r="E91" s="143"/>
      <c r="F91" s="88"/>
      <c r="G91" s="149"/>
      <c r="H91" s="143"/>
      <c r="I91" s="88"/>
      <c r="J91" s="88"/>
      <c r="K91" s="156"/>
    </row>
    <row r="92" s="73" customFormat="1" spans="1:11">
      <c r="A92" s="150" t="s">
        <v>101</v>
      </c>
      <c r="B92" s="143"/>
      <c r="C92" s="143"/>
      <c r="D92" s="149"/>
      <c r="E92" s="143"/>
      <c r="F92" s="88"/>
      <c r="G92" s="149"/>
      <c r="H92" s="143"/>
      <c r="I92" s="88"/>
      <c r="J92" s="88"/>
      <c r="K92" s="156"/>
    </row>
    <row r="93" s="73" customFormat="1" spans="1:11">
      <c r="A93" s="150" t="s">
        <v>102</v>
      </c>
      <c r="B93" s="143"/>
      <c r="C93" s="143"/>
      <c r="D93" s="149"/>
      <c r="E93" s="143"/>
      <c r="F93" s="88"/>
      <c r="G93" s="149"/>
      <c r="H93" s="143"/>
      <c r="I93" s="88"/>
      <c r="J93" s="88"/>
      <c r="K93" s="156"/>
    </row>
    <row r="94" s="73" customFormat="1" spans="1:11">
      <c r="A94" s="150" t="s">
        <v>103</v>
      </c>
      <c r="B94" s="143"/>
      <c r="C94" s="143"/>
      <c r="D94" s="149"/>
      <c r="E94" s="143"/>
      <c r="F94" s="88"/>
      <c r="G94" s="149"/>
      <c r="H94" s="143"/>
      <c r="I94" s="88"/>
      <c r="J94" s="88"/>
      <c r="K94" s="156"/>
    </row>
    <row r="95" s="73" customFormat="1" spans="1:11">
      <c r="A95" s="150" t="s">
        <v>104</v>
      </c>
      <c r="B95" s="143"/>
      <c r="C95" s="143"/>
      <c r="D95" s="149"/>
      <c r="E95" s="143"/>
      <c r="F95" s="88"/>
      <c r="G95" s="149"/>
      <c r="H95" s="143"/>
      <c r="I95" s="88"/>
      <c r="J95" s="88"/>
      <c r="K95" s="156"/>
    </row>
    <row r="96" s="73" customFormat="1" spans="1:11">
      <c r="A96" s="150" t="s">
        <v>105</v>
      </c>
      <c r="B96" s="143"/>
      <c r="C96" s="143"/>
      <c r="D96" s="149"/>
      <c r="E96" s="143"/>
      <c r="F96" s="88"/>
      <c r="G96" s="149"/>
      <c r="H96" s="143"/>
      <c r="I96" s="88"/>
      <c r="J96" s="88"/>
      <c r="K96" s="156"/>
    </row>
    <row r="97" s="73" customFormat="1" spans="1:11">
      <c r="A97" s="150" t="s">
        <v>106</v>
      </c>
      <c r="B97" s="143">
        <v>65</v>
      </c>
      <c r="C97" s="143">
        <v>369</v>
      </c>
      <c r="D97" s="149"/>
      <c r="E97" s="143">
        <v>380</v>
      </c>
      <c r="F97" s="88"/>
      <c r="G97" s="149"/>
      <c r="H97" s="143">
        <f>45+16</f>
        <v>61</v>
      </c>
      <c r="I97" s="88"/>
      <c r="J97" s="88"/>
      <c r="K97" s="156"/>
    </row>
    <row r="98" s="73" customFormat="1" spans="1:11">
      <c r="A98" s="86" t="s">
        <v>107</v>
      </c>
      <c r="B98" s="88">
        <f>SUM(B99:B119)</f>
        <v>1478</v>
      </c>
      <c r="C98" s="88">
        <f>SUM(C99:C119)</f>
        <v>12792</v>
      </c>
      <c r="D98" s="88"/>
      <c r="E98" s="88">
        <f>SUM(E99:E119)</f>
        <v>22907</v>
      </c>
      <c r="F98" s="88"/>
      <c r="G98" s="88"/>
      <c r="H98" s="88">
        <f>SUM(H99:H119)</f>
        <v>1857</v>
      </c>
      <c r="I98" s="88"/>
      <c r="J98" s="88"/>
      <c r="K98" s="156"/>
    </row>
    <row r="99" s="73" customFormat="1" spans="1:11">
      <c r="A99" s="150" t="s">
        <v>108</v>
      </c>
      <c r="B99" s="143">
        <v>19</v>
      </c>
      <c r="C99" s="143">
        <v>205</v>
      </c>
      <c r="D99" s="149"/>
      <c r="E99" s="143">
        <v>4031</v>
      </c>
      <c r="F99" s="88"/>
      <c r="G99" s="149"/>
      <c r="H99" s="88">
        <v>14</v>
      </c>
      <c r="I99" s="88"/>
      <c r="J99" s="88"/>
      <c r="K99" s="156"/>
    </row>
    <row r="100" s="73" customFormat="1" spans="1:11">
      <c r="A100" s="150" t="s">
        <v>109</v>
      </c>
      <c r="B100" s="143"/>
      <c r="C100" s="143"/>
      <c r="D100" s="149"/>
      <c r="E100" s="143"/>
      <c r="F100" s="88"/>
      <c r="G100" s="149"/>
      <c r="H100" s="88"/>
      <c r="I100" s="88"/>
      <c r="J100" s="88"/>
      <c r="K100" s="156"/>
    </row>
    <row r="101" s="73" customFormat="1" spans="1:11">
      <c r="A101" s="150" t="s">
        <v>110</v>
      </c>
      <c r="B101" s="143"/>
      <c r="C101" s="143"/>
      <c r="D101" s="149"/>
      <c r="E101" s="143"/>
      <c r="F101" s="88"/>
      <c r="G101" s="149"/>
      <c r="H101" s="88"/>
      <c r="I101" s="88"/>
      <c r="J101" s="88"/>
      <c r="K101" s="156"/>
    </row>
    <row r="102" s="73" customFormat="1" spans="1:11">
      <c r="A102" s="150" t="s">
        <v>111</v>
      </c>
      <c r="B102" s="143"/>
      <c r="C102" s="143"/>
      <c r="D102" s="149"/>
      <c r="E102" s="143"/>
      <c r="F102" s="88"/>
      <c r="G102" s="149"/>
      <c r="H102" s="88"/>
      <c r="I102" s="88"/>
      <c r="J102" s="88"/>
      <c r="K102" s="156"/>
    </row>
    <row r="103" s="73" customFormat="1" spans="1:11">
      <c r="A103" s="150" t="s">
        <v>112</v>
      </c>
      <c r="B103" s="143"/>
      <c r="C103" s="143">
        <f>315+550</f>
        <v>865</v>
      </c>
      <c r="D103" s="149"/>
      <c r="E103" s="143">
        <v>1739</v>
      </c>
      <c r="F103" s="88"/>
      <c r="G103" s="149"/>
      <c r="H103" s="88"/>
      <c r="I103" s="88"/>
      <c r="J103" s="88"/>
      <c r="K103" s="156"/>
    </row>
    <row r="104" s="73" customFormat="1" spans="1:11">
      <c r="A104" s="150" t="s">
        <v>113</v>
      </c>
      <c r="B104" s="143"/>
      <c r="C104" s="143"/>
      <c r="D104" s="149"/>
      <c r="E104" s="143"/>
      <c r="F104" s="88"/>
      <c r="G104" s="149"/>
      <c r="H104" s="88"/>
      <c r="I104" s="88"/>
      <c r="J104" s="88"/>
      <c r="K104" s="156"/>
    </row>
    <row r="105" s="73" customFormat="1" spans="1:11">
      <c r="A105" s="150" t="s">
        <v>114</v>
      </c>
      <c r="B105" s="143"/>
      <c r="C105" s="143">
        <f>80+21</f>
        <v>101</v>
      </c>
      <c r="D105" s="149"/>
      <c r="E105" s="143">
        <v>1415</v>
      </c>
      <c r="F105" s="88"/>
      <c r="G105" s="149"/>
      <c r="H105" s="88"/>
      <c r="I105" s="88"/>
      <c r="J105" s="88"/>
      <c r="K105" s="156"/>
    </row>
    <row r="106" s="73" customFormat="1" spans="1:11">
      <c r="A106" s="150" t="s">
        <v>115</v>
      </c>
      <c r="B106" s="143">
        <v>33</v>
      </c>
      <c r="C106" s="143">
        <v>478</v>
      </c>
      <c r="D106" s="149"/>
      <c r="E106" s="143">
        <v>489</v>
      </c>
      <c r="F106" s="88"/>
      <c r="G106" s="149"/>
      <c r="H106" s="88">
        <v>87</v>
      </c>
      <c r="I106" s="88"/>
      <c r="J106" s="88"/>
      <c r="K106" s="156"/>
    </row>
    <row r="107" s="73" customFormat="1" spans="1:11">
      <c r="A107" s="150" t="s">
        <v>116</v>
      </c>
      <c r="B107" s="143">
        <v>25</v>
      </c>
      <c r="C107" s="143">
        <v>114</v>
      </c>
      <c r="D107" s="149"/>
      <c r="E107" s="143">
        <v>323</v>
      </c>
      <c r="F107" s="88"/>
      <c r="G107" s="149"/>
      <c r="H107" s="88">
        <v>75</v>
      </c>
      <c r="I107" s="88"/>
      <c r="J107" s="88"/>
      <c r="K107" s="156"/>
    </row>
    <row r="108" s="73" customFormat="1" spans="1:11">
      <c r="A108" s="150" t="s">
        <v>117</v>
      </c>
      <c r="B108" s="143"/>
      <c r="C108" s="143">
        <v>3312</v>
      </c>
      <c r="D108" s="149"/>
      <c r="E108" s="143">
        <v>6558</v>
      </c>
      <c r="F108" s="88"/>
      <c r="G108" s="149"/>
      <c r="H108" s="88"/>
      <c r="I108" s="88"/>
      <c r="J108" s="88"/>
      <c r="K108" s="156"/>
    </row>
    <row r="109" s="73" customFormat="1" spans="1:11">
      <c r="A109" s="150" t="s">
        <v>118</v>
      </c>
      <c r="B109" s="143"/>
      <c r="C109" s="143">
        <f>77+822</f>
        <v>899</v>
      </c>
      <c r="D109" s="149"/>
      <c r="E109" s="143">
        <v>2921</v>
      </c>
      <c r="F109" s="88"/>
      <c r="G109" s="149"/>
      <c r="H109" s="88"/>
      <c r="I109" s="88"/>
      <c r="J109" s="88"/>
      <c r="K109" s="156"/>
    </row>
    <row r="110" s="73" customFormat="1" spans="1:11">
      <c r="A110" s="150" t="s">
        <v>119</v>
      </c>
      <c r="B110" s="143">
        <v>1401</v>
      </c>
      <c r="C110" s="143">
        <v>3734</v>
      </c>
      <c r="D110" s="149"/>
      <c r="E110" s="143">
        <v>4647</v>
      </c>
      <c r="F110" s="88"/>
      <c r="G110" s="149"/>
      <c r="H110" s="88">
        <v>1681</v>
      </c>
      <c r="I110" s="88"/>
      <c r="J110" s="88"/>
      <c r="K110" s="156"/>
    </row>
    <row r="111" s="73" customFormat="1" spans="1:11">
      <c r="A111" s="150" t="s">
        <v>120</v>
      </c>
      <c r="B111" s="143"/>
      <c r="C111" s="143">
        <f>19+28</f>
        <v>47</v>
      </c>
      <c r="D111" s="149"/>
      <c r="E111" s="143">
        <v>131</v>
      </c>
      <c r="F111" s="88"/>
      <c r="G111" s="149"/>
      <c r="H111" s="88"/>
      <c r="I111" s="88"/>
      <c r="J111" s="88"/>
      <c r="K111" s="156"/>
    </row>
    <row r="112" s="73" customFormat="1" spans="1:11">
      <c r="A112" s="150" t="s">
        <v>121</v>
      </c>
      <c r="B112" s="143"/>
      <c r="C112" s="143">
        <f>26</f>
        <v>26</v>
      </c>
      <c r="D112" s="149"/>
      <c r="E112" s="143">
        <v>15</v>
      </c>
      <c r="F112" s="88"/>
      <c r="G112" s="149"/>
      <c r="H112" s="88"/>
      <c r="I112" s="88"/>
      <c r="J112" s="88"/>
      <c r="K112" s="156"/>
    </row>
    <row r="113" s="73" customFormat="1" spans="1:11">
      <c r="A113" s="150" t="s">
        <v>122</v>
      </c>
      <c r="B113" s="143"/>
      <c r="C113" s="143"/>
      <c r="D113" s="149"/>
      <c r="E113" s="143">
        <v>70</v>
      </c>
      <c r="F113" s="88"/>
      <c r="G113" s="149"/>
      <c r="H113" s="88"/>
      <c r="I113" s="88"/>
      <c r="J113" s="88"/>
      <c r="K113" s="156"/>
    </row>
    <row r="114" s="73" customFormat="1" spans="1:11">
      <c r="A114" s="150" t="s">
        <v>123</v>
      </c>
      <c r="B114" s="143"/>
      <c r="C114" s="143">
        <v>237</v>
      </c>
      <c r="D114" s="149"/>
      <c r="E114" s="143">
        <v>13</v>
      </c>
      <c r="F114" s="88"/>
      <c r="G114" s="149"/>
      <c r="H114" s="88"/>
      <c r="I114" s="88"/>
      <c r="J114" s="88"/>
      <c r="K114" s="156"/>
    </row>
    <row r="115" s="73" customFormat="1" spans="1:11">
      <c r="A115" s="150" t="s">
        <v>124</v>
      </c>
      <c r="B115" s="143"/>
      <c r="C115" s="143">
        <v>2750</v>
      </c>
      <c r="D115" s="149"/>
      <c r="E115" s="143"/>
      <c r="F115" s="88"/>
      <c r="G115" s="149"/>
      <c r="H115" s="88"/>
      <c r="I115" s="88"/>
      <c r="J115" s="88"/>
      <c r="K115" s="156"/>
    </row>
    <row r="116" s="73" customFormat="1" spans="1:11">
      <c r="A116" s="150" t="s">
        <v>125</v>
      </c>
      <c r="B116" s="143"/>
      <c r="C116" s="143">
        <v>1</v>
      </c>
      <c r="D116" s="149"/>
      <c r="E116" s="143">
        <v>4</v>
      </c>
      <c r="F116" s="88"/>
      <c r="G116" s="149"/>
      <c r="H116" s="88"/>
      <c r="I116" s="88"/>
      <c r="J116" s="88"/>
      <c r="K116" s="156"/>
    </row>
    <row r="117" s="73" customFormat="1" spans="1:11">
      <c r="A117" s="150" t="s">
        <v>126</v>
      </c>
      <c r="B117" s="143"/>
      <c r="C117" s="143"/>
      <c r="D117" s="149"/>
      <c r="E117" s="143"/>
      <c r="F117" s="88"/>
      <c r="G117" s="149"/>
      <c r="H117" s="88"/>
      <c r="I117" s="88"/>
      <c r="J117" s="88"/>
      <c r="K117" s="156"/>
    </row>
    <row r="118" s="73" customFormat="1" spans="1:11">
      <c r="A118" s="150" t="s">
        <v>127</v>
      </c>
      <c r="B118" s="143"/>
      <c r="C118" s="143">
        <v>23</v>
      </c>
      <c r="D118" s="149"/>
      <c r="E118" s="143">
        <v>551</v>
      </c>
      <c r="F118" s="88"/>
      <c r="G118" s="149"/>
      <c r="H118" s="88"/>
      <c r="I118" s="88"/>
      <c r="J118" s="88"/>
      <c r="K118" s="156"/>
    </row>
    <row r="119" s="73" customFormat="1" spans="1:11">
      <c r="A119" s="150" t="s">
        <v>128</v>
      </c>
      <c r="B119" s="143"/>
      <c r="C119" s="143"/>
      <c r="D119" s="149"/>
      <c r="E119" s="88"/>
      <c r="F119" s="88"/>
      <c r="G119" s="149"/>
      <c r="H119" s="88"/>
      <c r="I119" s="88"/>
      <c r="J119" s="88"/>
      <c r="K119" s="156"/>
    </row>
    <row r="120" s="73" customFormat="1" spans="1:11">
      <c r="A120" s="86" t="s">
        <v>129</v>
      </c>
      <c r="B120" s="88">
        <f>SUM(B121:B122)</f>
        <v>0</v>
      </c>
      <c r="C120" s="143">
        <f>SUM(C121:C122)</f>
        <v>0</v>
      </c>
      <c r="D120" s="149"/>
      <c r="E120" s="88"/>
      <c r="F120" s="88"/>
      <c r="G120" s="149"/>
      <c r="H120" s="88">
        <f>SUM(H121:H122)</f>
        <v>0</v>
      </c>
      <c r="I120" s="88"/>
      <c r="J120" s="88"/>
      <c r="K120" s="120"/>
    </row>
    <row r="121" s="73" customFormat="1" spans="1:11">
      <c r="A121" s="86" t="s">
        <v>130</v>
      </c>
      <c r="B121" s="88"/>
      <c r="C121" s="143"/>
      <c r="D121" s="149"/>
      <c r="E121" s="88"/>
      <c r="F121" s="88"/>
      <c r="G121" s="149"/>
      <c r="H121" s="88"/>
      <c r="I121" s="88"/>
      <c r="J121" s="88"/>
      <c r="K121" s="120"/>
    </row>
    <row r="122" s="73" customFormat="1" spans="1:11">
      <c r="A122" s="86" t="s">
        <v>131</v>
      </c>
      <c r="B122" s="88"/>
      <c r="C122" s="143"/>
      <c r="D122" s="149"/>
      <c r="E122" s="88"/>
      <c r="F122" s="88"/>
      <c r="G122" s="149"/>
      <c r="H122" s="88"/>
      <c r="I122" s="88"/>
      <c r="J122" s="88"/>
      <c r="K122" s="120"/>
    </row>
    <row r="123" s="73" customFormat="1" spans="1:11">
      <c r="A123" s="86" t="s">
        <v>132</v>
      </c>
      <c r="B123" s="88">
        <f>SUM(B124:B125)</f>
        <v>14932</v>
      </c>
      <c r="C123" s="143">
        <f>SUM(C124:C125)</f>
        <v>11299</v>
      </c>
      <c r="D123" s="149"/>
      <c r="E123" s="143">
        <f>SUM(E124:E125)</f>
        <v>972</v>
      </c>
      <c r="F123" s="88"/>
      <c r="G123" s="149"/>
      <c r="H123" s="88">
        <f>SUM(H124:H125)</f>
        <v>2456</v>
      </c>
      <c r="I123" s="88"/>
      <c r="J123" s="88"/>
      <c r="K123" s="120"/>
    </row>
    <row r="124" s="73" customFormat="1" spans="1:11">
      <c r="A124" s="86" t="s">
        <v>133</v>
      </c>
      <c r="B124" s="143">
        <v>14932</v>
      </c>
      <c r="C124" s="143">
        <v>11299</v>
      </c>
      <c r="D124" s="149"/>
      <c r="E124" s="143">
        <v>972</v>
      </c>
      <c r="F124" s="88"/>
      <c r="G124" s="149"/>
      <c r="H124" s="88">
        <v>2456</v>
      </c>
      <c r="I124" s="88"/>
      <c r="J124" s="88"/>
      <c r="K124" s="120"/>
    </row>
    <row r="125" s="73" customFormat="1" spans="1:11">
      <c r="A125" s="86" t="s">
        <v>134</v>
      </c>
      <c r="B125" s="143"/>
      <c r="C125" s="143"/>
      <c r="D125" s="149"/>
      <c r="E125" s="143"/>
      <c r="F125" s="88"/>
      <c r="G125" s="149"/>
      <c r="H125" s="88"/>
      <c r="I125" s="88"/>
      <c r="J125" s="88"/>
      <c r="K125" s="120"/>
    </row>
    <row r="126" s="73" customFormat="1" spans="1:11">
      <c r="A126" s="86" t="s">
        <v>135</v>
      </c>
      <c r="B126" s="143"/>
      <c r="C126" s="143"/>
      <c r="D126" s="149"/>
      <c r="E126" s="143">
        <v>3095</v>
      </c>
      <c r="F126" s="88"/>
      <c r="G126" s="149"/>
      <c r="H126" s="88"/>
      <c r="I126" s="88"/>
      <c r="J126" s="88"/>
      <c r="K126" s="156"/>
    </row>
    <row r="127" s="73" customFormat="1" spans="1:11">
      <c r="A127" s="86" t="s">
        <v>136</v>
      </c>
      <c r="B127" s="88"/>
      <c r="C127" s="143">
        <v>1548</v>
      </c>
      <c r="D127" s="149"/>
      <c r="E127" s="143">
        <v>1200</v>
      </c>
      <c r="F127" s="88"/>
      <c r="G127" s="149"/>
      <c r="H127" s="88"/>
      <c r="I127" s="88"/>
      <c r="J127" s="88"/>
      <c r="K127" s="120"/>
    </row>
    <row r="128" s="73" customFormat="1" spans="1:11">
      <c r="A128" s="86" t="s">
        <v>137</v>
      </c>
      <c r="B128" s="88"/>
      <c r="C128" s="143"/>
      <c r="D128" s="149"/>
      <c r="E128" s="143"/>
      <c r="F128" s="88"/>
      <c r="G128" s="149"/>
      <c r="H128" s="88"/>
      <c r="I128" s="88"/>
      <c r="J128" s="88"/>
      <c r="K128" s="120"/>
    </row>
    <row r="129" s="73" customFormat="1" spans="1:11">
      <c r="A129" s="108" t="s">
        <v>138</v>
      </c>
      <c r="B129" s="88"/>
      <c r="C129" s="88"/>
      <c r="D129" s="149"/>
      <c r="E129" s="88"/>
      <c r="F129" s="88"/>
      <c r="G129" s="149"/>
      <c r="H129" s="88">
        <v>1403</v>
      </c>
      <c r="I129" s="88"/>
      <c r="J129" s="88"/>
      <c r="K129" s="156"/>
    </row>
    <row r="130" s="73" customFormat="1" spans="1:11">
      <c r="A130" s="157" t="s">
        <v>139</v>
      </c>
      <c r="B130" s="105">
        <f>B46+B47</f>
        <v>56642</v>
      </c>
      <c r="C130" s="105">
        <f>C46+C47</f>
        <v>62183</v>
      </c>
      <c r="D130" s="105"/>
      <c r="E130" s="105">
        <f>E46+E47</f>
        <v>65812</v>
      </c>
      <c r="F130" s="105"/>
      <c r="G130" s="148"/>
      <c r="H130" s="105">
        <f>H46+H47</f>
        <v>50889</v>
      </c>
      <c r="I130" s="88"/>
      <c r="J130" s="88"/>
      <c r="K130" s="120"/>
    </row>
  </sheetData>
  <mergeCells count="13">
    <mergeCell ref="A2:K2"/>
    <mergeCell ref="I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  <mergeCell ref="K4:K6"/>
  </mergeCells>
  <pageMargins left="0.751388888888889" right="0.751388888888889" top="0.354166666666667" bottom="0.511805555555556" header="0.156944444444444" footer="0.196527777777778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0"/>
  <sheetViews>
    <sheetView tabSelected="1" workbookViewId="0">
      <pane xSplit="3" ySplit="6" topLeftCell="D152" activePane="bottomRight" state="frozen"/>
      <selection/>
      <selection pane="topRight"/>
      <selection pane="bottomLeft"/>
      <selection pane="bottomRight" activeCell="C182" sqref="C182"/>
    </sheetView>
  </sheetViews>
  <sheetFormatPr defaultColWidth="9" defaultRowHeight="14.25"/>
  <cols>
    <col min="1" max="1" width="8.625" style="71" customWidth="1"/>
    <col min="2" max="2" width="8.625" style="3" customWidth="1"/>
    <col min="3" max="3" width="46.875" style="3" customWidth="1"/>
    <col min="4" max="4" width="9.875" style="72" customWidth="1"/>
    <col min="5" max="5" width="10.125" style="73" customWidth="1"/>
    <col min="6" max="6" width="9.25" style="72" customWidth="1"/>
    <col min="7" max="7" width="12" style="74" customWidth="1"/>
    <col min="8" max="8" width="9" style="73" customWidth="1"/>
    <col min="9" max="9" width="9.25" style="72" customWidth="1"/>
    <col min="10" max="10" width="9.375" style="74" customWidth="1"/>
    <col min="11" max="12" width="9.25" style="73" customWidth="1"/>
    <col min="13" max="13" width="8.375" style="74" customWidth="1"/>
    <col min="14" max="14" width="5.375" style="3" customWidth="1"/>
    <col min="15" max="16384" width="9" style="3"/>
  </cols>
  <sheetData>
    <row r="1" spans="1:1">
      <c r="A1" s="75" t="s">
        <v>140</v>
      </c>
    </row>
    <row r="2" s="3" customFormat="1" ht="28.5" spans="1:14">
      <c r="A2" s="76" t="s">
        <v>141</v>
      </c>
      <c r="B2" s="76"/>
      <c r="C2" s="76"/>
      <c r="D2" s="77"/>
      <c r="E2" s="77"/>
      <c r="F2" s="77"/>
      <c r="G2" s="76"/>
      <c r="H2" s="77"/>
      <c r="I2" s="77"/>
      <c r="J2" s="76"/>
      <c r="K2" s="77"/>
      <c r="L2" s="77"/>
      <c r="M2" s="76"/>
      <c r="N2" s="76"/>
    </row>
    <row r="3" s="3" customFormat="1" spans="1:14">
      <c r="A3" s="78" t="s">
        <v>2</v>
      </c>
      <c r="B3" s="78"/>
      <c r="C3" s="78"/>
      <c r="D3" s="79"/>
      <c r="E3" s="79"/>
      <c r="F3" s="79"/>
      <c r="G3" s="78"/>
      <c r="H3" s="79"/>
      <c r="I3" s="79"/>
      <c r="J3" s="78"/>
      <c r="K3" s="79"/>
      <c r="L3" s="79"/>
      <c r="M3" s="78"/>
      <c r="N3" s="78"/>
    </row>
    <row r="4" s="3" customFormat="1" spans="1:14">
      <c r="A4" s="12" t="s">
        <v>142</v>
      </c>
      <c r="B4" s="12" t="s">
        <v>143</v>
      </c>
      <c r="C4" s="12" t="s">
        <v>144</v>
      </c>
      <c r="D4" s="80" t="s">
        <v>145</v>
      </c>
      <c r="E4" s="80"/>
      <c r="F4" s="80"/>
      <c r="G4" s="12"/>
      <c r="H4" s="80"/>
      <c r="I4" s="80"/>
      <c r="J4" s="12"/>
      <c r="K4" s="93" t="s">
        <v>5</v>
      </c>
      <c r="L4" s="94"/>
      <c r="M4" s="95"/>
      <c r="N4" s="96" t="s">
        <v>6</v>
      </c>
    </row>
    <row r="5" s="3" customFormat="1" ht="26.5" customHeight="1" spans="1:14">
      <c r="A5" s="12"/>
      <c r="B5" s="12"/>
      <c r="C5" s="12"/>
      <c r="D5" s="80" t="s">
        <v>146</v>
      </c>
      <c r="E5" s="80" t="s">
        <v>147</v>
      </c>
      <c r="F5" s="80" t="s">
        <v>8</v>
      </c>
      <c r="G5" s="81" t="s">
        <v>148</v>
      </c>
      <c r="H5" s="80" t="s">
        <v>10</v>
      </c>
      <c r="I5" s="93" t="s">
        <v>149</v>
      </c>
      <c r="J5" s="95"/>
      <c r="K5" s="97" t="s">
        <v>7</v>
      </c>
      <c r="L5" s="80" t="s">
        <v>150</v>
      </c>
      <c r="M5" s="12"/>
      <c r="N5" s="96"/>
    </row>
    <row r="6" s="3" customFormat="1" spans="1:14">
      <c r="A6" s="12"/>
      <c r="B6" s="12"/>
      <c r="C6" s="12"/>
      <c r="D6" s="80"/>
      <c r="E6" s="80"/>
      <c r="F6" s="80"/>
      <c r="G6" s="82"/>
      <c r="H6" s="80"/>
      <c r="I6" s="80" t="s">
        <v>14</v>
      </c>
      <c r="J6" s="82" t="s">
        <v>15</v>
      </c>
      <c r="K6" s="98"/>
      <c r="L6" s="80" t="s">
        <v>14</v>
      </c>
      <c r="M6" s="82" t="s">
        <v>15</v>
      </c>
      <c r="N6" s="96"/>
    </row>
    <row r="7" s="3" customFormat="1" spans="1:14">
      <c r="A7" s="83" t="s">
        <v>151</v>
      </c>
      <c r="B7" s="84">
        <v>201</v>
      </c>
      <c r="C7" s="85" t="s">
        <v>152</v>
      </c>
      <c r="D7" s="86">
        <f t="shared" ref="D7:F7" si="0">SUM(D8,D18,D24,D32,D38,D48,D56,D62,D68,D70,D75,D80,D86,D89,D93,D95,D98,D103,D108,D113,D119,D124,D130,D132,D136,D138,D145)</f>
        <v>9175</v>
      </c>
      <c r="E7" s="86">
        <f t="shared" si="0"/>
        <v>10475</v>
      </c>
      <c r="F7" s="86">
        <f t="shared" si="0"/>
        <v>10155</v>
      </c>
      <c r="G7" s="87">
        <f t="shared" ref="G7:G70" si="1">IF(E7=0,,F7/E7*100)</f>
        <v>96.945107398568</v>
      </c>
      <c r="H7" s="88">
        <f>SUM(H8,H18,H24,H32,H38,H48,H56,H62,H68,H70,H75,H80,H86,H89,H93,H95,H98,H103,H108,H113,H119,H124,H130,H132,H136,H138,H145)</f>
        <v>8340</v>
      </c>
      <c r="I7" s="86">
        <f t="shared" ref="I7:I70" si="2">F7-H7</f>
        <v>1815</v>
      </c>
      <c r="J7" s="87">
        <f t="shared" ref="J7:J70" si="3">IF(H7=0,,I7/H7*100)</f>
        <v>21.7625899280576</v>
      </c>
      <c r="K7" s="88">
        <f>SUM(K8,K18,K24,K32,K38,K48,K56,K62,K68,K70,K75,K80,K86,K89,K93,K95,K98,K103,K108,K113,K119,K124,K130,K132,K136,K138,K145)</f>
        <v>8575</v>
      </c>
      <c r="L7" s="88">
        <f t="shared" ref="L7:L70" si="4">K7-D7</f>
        <v>-600</v>
      </c>
      <c r="M7" s="87">
        <f t="shared" ref="M7:M70" si="5">IF(D7=0,,L7/D7*100)</f>
        <v>-6.53950953678474</v>
      </c>
      <c r="N7" s="99"/>
    </row>
    <row r="8" s="3" customFormat="1" spans="1:14">
      <c r="A8" s="83" t="s">
        <v>153</v>
      </c>
      <c r="B8" s="84">
        <v>20101</v>
      </c>
      <c r="C8" s="89" t="s">
        <v>154</v>
      </c>
      <c r="D8" s="86">
        <f t="shared" ref="D8:H8" si="6">SUM(D9:D17)</f>
        <v>265</v>
      </c>
      <c r="E8" s="86">
        <v>300</v>
      </c>
      <c r="F8" s="19">
        <f>SUM(F9:F17)</f>
        <v>299</v>
      </c>
      <c r="G8" s="87">
        <f t="shared" si="1"/>
        <v>99.6666666666667</v>
      </c>
      <c r="H8" s="88">
        <f t="shared" si="6"/>
        <v>330</v>
      </c>
      <c r="I8" s="86">
        <f t="shared" si="2"/>
        <v>-31</v>
      </c>
      <c r="J8" s="87">
        <f t="shared" si="3"/>
        <v>-9.39393939393939</v>
      </c>
      <c r="K8" s="88">
        <f>SUM(K9:K17)</f>
        <v>342</v>
      </c>
      <c r="L8" s="88">
        <f t="shared" si="4"/>
        <v>77</v>
      </c>
      <c r="M8" s="87">
        <f t="shared" si="5"/>
        <v>29.0566037735849</v>
      </c>
      <c r="N8" s="100"/>
    </row>
    <row r="9" s="3" customFormat="1" spans="1:14">
      <c r="A9" s="83" t="s">
        <v>155</v>
      </c>
      <c r="B9" s="84">
        <v>2010101</v>
      </c>
      <c r="C9" s="89" t="s">
        <v>156</v>
      </c>
      <c r="D9" s="86">
        <v>263</v>
      </c>
      <c r="E9" s="86">
        <v>265</v>
      </c>
      <c r="F9" s="19">
        <v>265</v>
      </c>
      <c r="G9" s="87">
        <f t="shared" si="1"/>
        <v>100</v>
      </c>
      <c r="H9" s="88">
        <v>252</v>
      </c>
      <c r="I9" s="86">
        <f t="shared" si="2"/>
        <v>13</v>
      </c>
      <c r="J9" s="87">
        <f t="shared" si="3"/>
        <v>5.15873015873016</v>
      </c>
      <c r="K9" s="88">
        <v>300</v>
      </c>
      <c r="L9" s="88">
        <f t="shared" si="4"/>
        <v>37</v>
      </c>
      <c r="M9" s="87">
        <f t="shared" si="5"/>
        <v>14.0684410646388</v>
      </c>
      <c r="N9" s="100"/>
    </row>
    <row r="10" s="3" customFormat="1" hidden="1" spans="1:14">
      <c r="A10" s="83" t="s">
        <v>155</v>
      </c>
      <c r="B10" s="84">
        <v>2010102</v>
      </c>
      <c r="C10" s="89" t="s">
        <v>157</v>
      </c>
      <c r="D10" s="86"/>
      <c r="E10" s="86"/>
      <c r="F10" s="19"/>
      <c r="G10" s="87">
        <f t="shared" si="1"/>
        <v>0</v>
      </c>
      <c r="H10" s="88"/>
      <c r="I10" s="86">
        <f t="shared" si="2"/>
        <v>0</v>
      </c>
      <c r="J10" s="87">
        <f t="shared" si="3"/>
        <v>0</v>
      </c>
      <c r="K10" s="88"/>
      <c r="L10" s="88">
        <f t="shared" si="4"/>
        <v>0</v>
      </c>
      <c r="M10" s="87">
        <f t="shared" si="5"/>
        <v>0</v>
      </c>
      <c r="N10" s="100"/>
    </row>
    <row r="11" s="3" customFormat="1" hidden="1" spans="1:14">
      <c r="A11" s="83" t="s">
        <v>155</v>
      </c>
      <c r="B11" s="84">
        <v>2010103</v>
      </c>
      <c r="C11" s="90" t="s">
        <v>158</v>
      </c>
      <c r="D11" s="86"/>
      <c r="E11" s="86"/>
      <c r="F11" s="19"/>
      <c r="G11" s="87">
        <f t="shared" si="1"/>
        <v>0</v>
      </c>
      <c r="H11" s="88"/>
      <c r="I11" s="86">
        <f t="shared" si="2"/>
        <v>0</v>
      </c>
      <c r="J11" s="87">
        <f t="shared" si="3"/>
        <v>0</v>
      </c>
      <c r="K11" s="88"/>
      <c r="L11" s="88">
        <f t="shared" si="4"/>
        <v>0</v>
      </c>
      <c r="M11" s="87">
        <f t="shared" si="5"/>
        <v>0</v>
      </c>
      <c r="N11" s="100"/>
    </row>
    <row r="12" s="3" customFormat="1" spans="1:14">
      <c r="A12" s="83" t="s">
        <v>155</v>
      </c>
      <c r="B12" s="84">
        <v>2010104</v>
      </c>
      <c r="C12" s="90" t="s">
        <v>159</v>
      </c>
      <c r="D12" s="86"/>
      <c r="E12" s="86">
        <v>11</v>
      </c>
      <c r="F12" s="19">
        <v>11</v>
      </c>
      <c r="G12" s="87">
        <f t="shared" si="1"/>
        <v>100</v>
      </c>
      <c r="H12" s="88">
        <v>13</v>
      </c>
      <c r="I12" s="86">
        <f t="shared" si="2"/>
        <v>-2</v>
      </c>
      <c r="J12" s="87">
        <f t="shared" si="3"/>
        <v>-15.3846153846154</v>
      </c>
      <c r="K12" s="88">
        <v>42</v>
      </c>
      <c r="L12" s="88">
        <f t="shared" si="4"/>
        <v>42</v>
      </c>
      <c r="M12" s="87">
        <f t="shared" si="5"/>
        <v>0</v>
      </c>
      <c r="N12" s="100"/>
    </row>
    <row r="13" s="3" customFormat="1" hidden="1" spans="1:14">
      <c r="A13" s="83" t="s">
        <v>155</v>
      </c>
      <c r="B13" s="84">
        <v>2010106</v>
      </c>
      <c r="C13" s="85" t="s">
        <v>160</v>
      </c>
      <c r="D13" s="86"/>
      <c r="E13" s="86"/>
      <c r="F13" s="19"/>
      <c r="G13" s="87">
        <f t="shared" si="1"/>
        <v>0</v>
      </c>
      <c r="H13" s="88"/>
      <c r="I13" s="86">
        <f t="shared" si="2"/>
        <v>0</v>
      </c>
      <c r="J13" s="87">
        <f t="shared" si="3"/>
        <v>0</v>
      </c>
      <c r="K13" s="88"/>
      <c r="L13" s="88">
        <f t="shared" si="4"/>
        <v>0</v>
      </c>
      <c r="M13" s="87">
        <f t="shared" si="5"/>
        <v>0</v>
      </c>
      <c r="N13" s="100"/>
    </row>
    <row r="14" s="3" customFormat="1" hidden="1" spans="1:14">
      <c r="A14" s="83" t="s">
        <v>155</v>
      </c>
      <c r="B14" s="84">
        <v>2010107</v>
      </c>
      <c r="C14" s="85" t="s">
        <v>161</v>
      </c>
      <c r="D14" s="86"/>
      <c r="E14" s="86"/>
      <c r="F14" s="19"/>
      <c r="G14" s="87">
        <f t="shared" si="1"/>
        <v>0</v>
      </c>
      <c r="H14" s="88"/>
      <c r="I14" s="86">
        <f t="shared" si="2"/>
        <v>0</v>
      </c>
      <c r="J14" s="87">
        <f t="shared" si="3"/>
        <v>0</v>
      </c>
      <c r="K14" s="88"/>
      <c r="L14" s="88">
        <f t="shared" si="4"/>
        <v>0</v>
      </c>
      <c r="M14" s="87">
        <f t="shared" si="5"/>
        <v>0</v>
      </c>
      <c r="N14" s="100"/>
    </row>
    <row r="15" s="3" customFormat="1" hidden="1" spans="1:14">
      <c r="A15" s="83" t="s">
        <v>155</v>
      </c>
      <c r="B15" s="84">
        <v>2010108</v>
      </c>
      <c r="C15" s="85" t="s">
        <v>162</v>
      </c>
      <c r="D15" s="86"/>
      <c r="E15" s="86"/>
      <c r="F15" s="19"/>
      <c r="G15" s="87">
        <f t="shared" si="1"/>
        <v>0</v>
      </c>
      <c r="H15" s="88"/>
      <c r="I15" s="86">
        <f t="shared" si="2"/>
        <v>0</v>
      </c>
      <c r="J15" s="87">
        <f t="shared" si="3"/>
        <v>0</v>
      </c>
      <c r="K15" s="88"/>
      <c r="L15" s="88">
        <f t="shared" si="4"/>
        <v>0</v>
      </c>
      <c r="M15" s="87">
        <f t="shared" si="5"/>
        <v>0</v>
      </c>
      <c r="N15" s="100"/>
    </row>
    <row r="16" s="3" customFormat="1" hidden="1" spans="1:14">
      <c r="A16" s="83" t="s">
        <v>155</v>
      </c>
      <c r="B16" s="84">
        <v>2010109</v>
      </c>
      <c r="C16" s="85" t="s">
        <v>163</v>
      </c>
      <c r="D16" s="86"/>
      <c r="E16" s="86"/>
      <c r="F16" s="19"/>
      <c r="G16" s="87">
        <f t="shared" si="1"/>
        <v>0</v>
      </c>
      <c r="H16" s="88"/>
      <c r="I16" s="86">
        <f t="shared" si="2"/>
        <v>0</v>
      </c>
      <c r="J16" s="87">
        <f t="shared" si="3"/>
        <v>0</v>
      </c>
      <c r="K16" s="88"/>
      <c r="L16" s="88">
        <f t="shared" si="4"/>
        <v>0</v>
      </c>
      <c r="M16" s="87">
        <f t="shared" si="5"/>
        <v>0</v>
      </c>
      <c r="N16" s="100"/>
    </row>
    <row r="17" s="3" customFormat="1" spans="1:14">
      <c r="A17" s="83" t="s">
        <v>155</v>
      </c>
      <c r="B17" s="84">
        <v>2010199</v>
      </c>
      <c r="C17" s="85" t="s">
        <v>164</v>
      </c>
      <c r="D17" s="86">
        <v>2</v>
      </c>
      <c r="E17" s="86">
        <v>23</v>
      </c>
      <c r="F17" s="19">
        <v>23</v>
      </c>
      <c r="G17" s="87">
        <f t="shared" si="1"/>
        <v>100</v>
      </c>
      <c r="H17" s="88">
        <v>65</v>
      </c>
      <c r="I17" s="86">
        <f t="shared" si="2"/>
        <v>-42</v>
      </c>
      <c r="J17" s="87">
        <f t="shared" si="3"/>
        <v>-64.6153846153846</v>
      </c>
      <c r="K17" s="88"/>
      <c r="L17" s="88">
        <f t="shared" si="4"/>
        <v>-2</v>
      </c>
      <c r="M17" s="87">
        <f t="shared" si="5"/>
        <v>-100</v>
      </c>
      <c r="N17" s="100"/>
    </row>
    <row r="18" s="3" customFormat="1" spans="1:14">
      <c r="A18" s="83" t="s">
        <v>153</v>
      </c>
      <c r="B18" s="84">
        <v>20102</v>
      </c>
      <c r="C18" s="89" t="s">
        <v>165</v>
      </c>
      <c r="D18" s="86">
        <f t="shared" ref="D18:F18" si="7">SUM(D19:D23)</f>
        <v>235</v>
      </c>
      <c r="E18" s="86">
        <f t="shared" si="7"/>
        <v>260</v>
      </c>
      <c r="F18" s="19">
        <f t="shared" si="7"/>
        <v>259</v>
      </c>
      <c r="G18" s="87">
        <f t="shared" si="1"/>
        <v>99.6153846153846</v>
      </c>
      <c r="H18" s="88">
        <f>SUM(H19:H23)</f>
        <v>173</v>
      </c>
      <c r="I18" s="86">
        <f t="shared" si="2"/>
        <v>86</v>
      </c>
      <c r="J18" s="87">
        <f t="shared" si="3"/>
        <v>49.7109826589595</v>
      </c>
      <c r="K18" s="88">
        <f>SUM(K19:K23)</f>
        <v>219</v>
      </c>
      <c r="L18" s="88">
        <f t="shared" si="4"/>
        <v>-16</v>
      </c>
      <c r="M18" s="87">
        <f t="shared" si="5"/>
        <v>-6.80851063829787</v>
      </c>
      <c r="N18" s="100"/>
    </row>
    <row r="19" s="3" customFormat="1" spans="1:14">
      <c r="A19" s="83" t="s">
        <v>155</v>
      </c>
      <c r="B19" s="84">
        <v>2010201</v>
      </c>
      <c r="C19" s="89" t="s">
        <v>156</v>
      </c>
      <c r="D19" s="86">
        <v>170</v>
      </c>
      <c r="E19" s="86">
        <v>180</v>
      </c>
      <c r="F19" s="19">
        <v>180</v>
      </c>
      <c r="G19" s="87">
        <f t="shared" si="1"/>
        <v>100</v>
      </c>
      <c r="H19" s="88">
        <v>150</v>
      </c>
      <c r="I19" s="86">
        <f t="shared" si="2"/>
        <v>30</v>
      </c>
      <c r="J19" s="87">
        <f t="shared" si="3"/>
        <v>20</v>
      </c>
      <c r="K19" s="88">
        <v>183</v>
      </c>
      <c r="L19" s="88">
        <f t="shared" si="4"/>
        <v>13</v>
      </c>
      <c r="M19" s="87">
        <f t="shared" si="5"/>
        <v>7.64705882352941</v>
      </c>
      <c r="N19" s="100"/>
    </row>
    <row r="20" s="3" customFormat="1" spans="1:14">
      <c r="A20" s="83" t="s">
        <v>155</v>
      </c>
      <c r="B20" s="84">
        <v>2010202</v>
      </c>
      <c r="C20" s="89" t="s">
        <v>157</v>
      </c>
      <c r="D20" s="86"/>
      <c r="E20" s="86"/>
      <c r="F20" s="19"/>
      <c r="G20" s="87">
        <f t="shared" si="1"/>
        <v>0</v>
      </c>
      <c r="H20" s="88"/>
      <c r="I20" s="86">
        <f t="shared" si="2"/>
        <v>0</v>
      </c>
      <c r="J20" s="87">
        <f t="shared" si="3"/>
        <v>0</v>
      </c>
      <c r="K20" s="88"/>
      <c r="L20" s="88">
        <f t="shared" si="4"/>
        <v>0</v>
      </c>
      <c r="M20" s="87">
        <f t="shared" si="5"/>
        <v>0</v>
      </c>
      <c r="N20" s="100"/>
    </row>
    <row r="21" s="3" customFormat="1" spans="1:14">
      <c r="A21" s="83" t="s">
        <v>155</v>
      </c>
      <c r="B21" s="84">
        <v>2010204</v>
      </c>
      <c r="C21" s="90" t="s">
        <v>166</v>
      </c>
      <c r="D21" s="86"/>
      <c r="E21" s="86"/>
      <c r="F21" s="19"/>
      <c r="G21" s="87">
        <f t="shared" si="1"/>
        <v>0</v>
      </c>
      <c r="H21" s="88">
        <v>11</v>
      </c>
      <c r="I21" s="86">
        <f t="shared" si="2"/>
        <v>-11</v>
      </c>
      <c r="J21" s="87">
        <f t="shared" si="3"/>
        <v>-100</v>
      </c>
      <c r="K21" s="88">
        <v>36</v>
      </c>
      <c r="L21" s="88">
        <f t="shared" si="4"/>
        <v>36</v>
      </c>
      <c r="M21" s="87">
        <f t="shared" si="5"/>
        <v>0</v>
      </c>
      <c r="N21" s="100"/>
    </row>
    <row r="22" s="3" customFormat="1" spans="1:14">
      <c r="A22" s="83" t="s">
        <v>155</v>
      </c>
      <c r="B22" s="84">
        <v>2010206</v>
      </c>
      <c r="C22" s="90" t="s">
        <v>167</v>
      </c>
      <c r="D22" s="86"/>
      <c r="E22" s="86"/>
      <c r="F22" s="19"/>
      <c r="G22" s="87">
        <f t="shared" si="1"/>
        <v>0</v>
      </c>
      <c r="H22" s="88"/>
      <c r="I22" s="86">
        <f t="shared" si="2"/>
        <v>0</v>
      </c>
      <c r="J22" s="87">
        <f t="shared" si="3"/>
        <v>0</v>
      </c>
      <c r="K22" s="88"/>
      <c r="L22" s="88">
        <f t="shared" si="4"/>
        <v>0</v>
      </c>
      <c r="M22" s="87">
        <f t="shared" si="5"/>
        <v>0</v>
      </c>
      <c r="N22" s="100"/>
    </row>
    <row r="23" s="3" customFormat="1" spans="1:14">
      <c r="A23" s="83" t="s">
        <v>155</v>
      </c>
      <c r="B23" s="84">
        <v>2010299</v>
      </c>
      <c r="C23" s="90" t="s">
        <v>168</v>
      </c>
      <c r="D23" s="86">
        <v>65</v>
      </c>
      <c r="E23" s="86">
        <v>80</v>
      </c>
      <c r="F23" s="19">
        <v>79</v>
      </c>
      <c r="G23" s="87">
        <f t="shared" si="1"/>
        <v>98.75</v>
      </c>
      <c r="H23" s="88">
        <v>12</v>
      </c>
      <c r="I23" s="86">
        <f t="shared" si="2"/>
        <v>67</v>
      </c>
      <c r="J23" s="87">
        <f t="shared" si="3"/>
        <v>558.333333333333</v>
      </c>
      <c r="K23" s="88"/>
      <c r="L23" s="88">
        <f t="shared" si="4"/>
        <v>-65</v>
      </c>
      <c r="M23" s="87">
        <f t="shared" si="5"/>
        <v>-100</v>
      </c>
      <c r="N23" s="100"/>
    </row>
    <row r="24" s="3" customFormat="1" spans="1:14">
      <c r="A24" s="83" t="s">
        <v>153</v>
      </c>
      <c r="B24" s="84">
        <v>20103</v>
      </c>
      <c r="C24" s="89" t="s">
        <v>169</v>
      </c>
      <c r="D24" s="86">
        <f t="shared" ref="D24:F24" si="8">SUM(D25:D31)</f>
        <v>3092</v>
      </c>
      <c r="E24" s="86">
        <f t="shared" si="8"/>
        <v>5825</v>
      </c>
      <c r="F24" s="19">
        <f t="shared" si="8"/>
        <v>5708</v>
      </c>
      <c r="G24" s="87">
        <f t="shared" si="1"/>
        <v>97.9914163090129</v>
      </c>
      <c r="H24" s="88">
        <f>SUM(H25:H31)</f>
        <v>3263</v>
      </c>
      <c r="I24" s="86">
        <f t="shared" si="2"/>
        <v>2445</v>
      </c>
      <c r="J24" s="87">
        <f t="shared" si="3"/>
        <v>74.931045050567</v>
      </c>
      <c r="K24" s="88">
        <f>SUM(K25:K31)</f>
        <v>4355</v>
      </c>
      <c r="L24" s="88">
        <f t="shared" si="4"/>
        <v>1263</v>
      </c>
      <c r="M24" s="87">
        <f t="shared" si="5"/>
        <v>40.8473479948254</v>
      </c>
      <c r="N24" s="100"/>
    </row>
    <row r="25" s="3" customFormat="1" spans="1:14">
      <c r="A25" s="83" t="s">
        <v>155</v>
      </c>
      <c r="B25" s="84">
        <v>2010301</v>
      </c>
      <c r="C25" s="89" t="s">
        <v>156</v>
      </c>
      <c r="D25" s="86">
        <f>10+1679+71+48+8</f>
        <v>1816</v>
      </c>
      <c r="E25" s="86">
        <v>2700</v>
      </c>
      <c r="F25" s="19">
        <v>2611</v>
      </c>
      <c r="G25" s="87">
        <f t="shared" si="1"/>
        <v>96.7037037037037</v>
      </c>
      <c r="H25" s="88">
        <v>2295</v>
      </c>
      <c r="I25" s="86">
        <f t="shared" si="2"/>
        <v>316</v>
      </c>
      <c r="J25" s="87">
        <f t="shared" si="3"/>
        <v>13.7690631808279</v>
      </c>
      <c r="K25" s="88">
        <v>3496</v>
      </c>
      <c r="L25" s="88">
        <f t="shared" si="4"/>
        <v>1680</v>
      </c>
      <c r="M25" s="87">
        <f t="shared" si="5"/>
        <v>92.511013215859</v>
      </c>
      <c r="N25" s="100"/>
    </row>
    <row r="26" s="3" customFormat="1" spans="1:14">
      <c r="A26" s="83" t="s">
        <v>155</v>
      </c>
      <c r="B26" s="84">
        <v>2010302</v>
      </c>
      <c r="C26" s="89" t="s">
        <v>157</v>
      </c>
      <c r="D26" s="86">
        <v>16</v>
      </c>
      <c r="E26" s="86">
        <v>0</v>
      </c>
      <c r="F26" s="19"/>
      <c r="G26" s="87">
        <f t="shared" si="1"/>
        <v>0</v>
      </c>
      <c r="H26" s="88"/>
      <c r="I26" s="86">
        <f t="shared" si="2"/>
        <v>0</v>
      </c>
      <c r="J26" s="87">
        <f t="shared" si="3"/>
        <v>0</v>
      </c>
      <c r="K26" s="88"/>
      <c r="L26" s="88">
        <f t="shared" si="4"/>
        <v>-16</v>
      </c>
      <c r="M26" s="87">
        <f t="shared" si="5"/>
        <v>-100</v>
      </c>
      <c r="N26" s="100"/>
    </row>
    <row r="27" s="3" customFormat="1" spans="1:14">
      <c r="A27" s="83" t="s">
        <v>155</v>
      </c>
      <c r="B27" s="84">
        <v>2010303</v>
      </c>
      <c r="C27" s="90" t="s">
        <v>158</v>
      </c>
      <c r="D27" s="86">
        <f>400+306</f>
        <v>706</v>
      </c>
      <c r="E27" s="86">
        <v>400</v>
      </c>
      <c r="F27" s="19">
        <v>391</v>
      </c>
      <c r="G27" s="87">
        <f t="shared" si="1"/>
        <v>97.75</v>
      </c>
      <c r="H27" s="88"/>
      <c r="I27" s="86">
        <f t="shared" si="2"/>
        <v>391</v>
      </c>
      <c r="J27" s="87">
        <f t="shared" si="3"/>
        <v>0</v>
      </c>
      <c r="K27" s="88">
        <v>276</v>
      </c>
      <c r="L27" s="88">
        <f t="shared" si="4"/>
        <v>-430</v>
      </c>
      <c r="M27" s="87">
        <f t="shared" si="5"/>
        <v>-60.9065155807365</v>
      </c>
      <c r="N27" s="100"/>
    </row>
    <row r="28" s="3" customFormat="1" spans="1:14">
      <c r="A28" s="83" t="s">
        <v>155</v>
      </c>
      <c r="B28" s="84">
        <v>2010305</v>
      </c>
      <c r="C28" s="90" t="s">
        <v>170</v>
      </c>
      <c r="D28" s="86"/>
      <c r="E28" s="86"/>
      <c r="F28" s="19"/>
      <c r="G28" s="87">
        <f t="shared" si="1"/>
        <v>0</v>
      </c>
      <c r="H28" s="88"/>
      <c r="I28" s="86">
        <f t="shared" si="2"/>
        <v>0</v>
      </c>
      <c r="J28" s="87">
        <f t="shared" si="3"/>
        <v>0</v>
      </c>
      <c r="K28" s="88"/>
      <c r="L28" s="88">
        <f t="shared" si="4"/>
        <v>0</v>
      </c>
      <c r="M28" s="87">
        <f t="shared" si="5"/>
        <v>0</v>
      </c>
      <c r="N28" s="100"/>
    </row>
    <row r="29" s="3" customFormat="1" spans="1:14">
      <c r="A29" s="83" t="s">
        <v>155</v>
      </c>
      <c r="B29" s="84">
        <v>2010308</v>
      </c>
      <c r="C29" s="89" t="s">
        <v>171</v>
      </c>
      <c r="D29" s="86">
        <v>30</v>
      </c>
      <c r="E29" s="86">
        <v>34</v>
      </c>
      <c r="F29" s="19">
        <v>34</v>
      </c>
      <c r="G29" s="87">
        <f t="shared" si="1"/>
        <v>100</v>
      </c>
      <c r="H29" s="88">
        <v>32</v>
      </c>
      <c r="I29" s="86">
        <f t="shared" si="2"/>
        <v>2</v>
      </c>
      <c r="J29" s="87">
        <f t="shared" si="3"/>
        <v>6.25</v>
      </c>
      <c r="K29" s="88">
        <v>19</v>
      </c>
      <c r="L29" s="88">
        <f t="shared" si="4"/>
        <v>-11</v>
      </c>
      <c r="M29" s="87">
        <f t="shared" si="5"/>
        <v>-36.6666666666667</v>
      </c>
      <c r="N29" s="100"/>
    </row>
    <row r="30" s="3" customFormat="1" spans="1:14">
      <c r="A30" s="83" t="s">
        <v>155</v>
      </c>
      <c r="B30" s="84">
        <v>2010350</v>
      </c>
      <c r="C30" s="90" t="s">
        <v>172</v>
      </c>
      <c r="D30" s="86">
        <v>361</v>
      </c>
      <c r="E30" s="86">
        <v>391</v>
      </c>
      <c r="F30" s="19">
        <v>391</v>
      </c>
      <c r="G30" s="87">
        <f t="shared" si="1"/>
        <v>100</v>
      </c>
      <c r="H30" s="88"/>
      <c r="I30" s="86">
        <f t="shared" si="2"/>
        <v>391</v>
      </c>
      <c r="J30" s="87">
        <f t="shared" si="3"/>
        <v>0</v>
      </c>
      <c r="K30" s="88">
        <v>17</v>
      </c>
      <c r="L30" s="88">
        <f t="shared" si="4"/>
        <v>-344</v>
      </c>
      <c r="M30" s="87">
        <f t="shared" si="5"/>
        <v>-95.2908587257618</v>
      </c>
      <c r="N30" s="100"/>
    </row>
    <row r="31" s="3" customFormat="1" spans="1:14">
      <c r="A31" s="83" t="s">
        <v>155</v>
      </c>
      <c r="B31" s="84">
        <v>2010399</v>
      </c>
      <c r="C31" s="90" t="s">
        <v>173</v>
      </c>
      <c r="D31" s="86">
        <f>12+5+146</f>
        <v>163</v>
      </c>
      <c r="E31" s="86">
        <v>2300</v>
      </c>
      <c r="F31" s="19">
        <v>2281</v>
      </c>
      <c r="G31" s="87">
        <f t="shared" si="1"/>
        <v>99.1739130434783</v>
      </c>
      <c r="H31" s="88">
        <v>936</v>
      </c>
      <c r="I31" s="86">
        <f t="shared" si="2"/>
        <v>1345</v>
      </c>
      <c r="J31" s="87">
        <f t="shared" si="3"/>
        <v>143.696581196581</v>
      </c>
      <c r="K31" s="88">
        <f>20+120+20+140+50+20+177</f>
        <v>547</v>
      </c>
      <c r="L31" s="88">
        <f t="shared" si="4"/>
        <v>384</v>
      </c>
      <c r="M31" s="87">
        <f t="shared" si="5"/>
        <v>235.58282208589</v>
      </c>
      <c r="N31" s="100"/>
    </row>
    <row r="32" s="3" customFormat="1" spans="1:14">
      <c r="A32" s="83" t="s">
        <v>153</v>
      </c>
      <c r="B32" s="84">
        <v>20104</v>
      </c>
      <c r="C32" s="89" t="s">
        <v>174</v>
      </c>
      <c r="D32" s="86">
        <f t="shared" ref="D32:F32" si="9">SUM(D33:D37)</f>
        <v>2463</v>
      </c>
      <c r="E32" s="86">
        <f t="shared" si="9"/>
        <v>179</v>
      </c>
      <c r="F32" s="19">
        <f t="shared" si="9"/>
        <v>100</v>
      </c>
      <c r="G32" s="87">
        <f t="shared" si="1"/>
        <v>55.8659217877095</v>
      </c>
      <c r="H32" s="88">
        <f>SUM(H33:H37)</f>
        <v>305</v>
      </c>
      <c r="I32" s="86">
        <f t="shared" si="2"/>
        <v>-205</v>
      </c>
      <c r="J32" s="87">
        <f t="shared" si="3"/>
        <v>-67.2131147540984</v>
      </c>
      <c r="K32" s="88">
        <f>SUM(K33:K37)</f>
        <v>99</v>
      </c>
      <c r="L32" s="88">
        <f t="shared" si="4"/>
        <v>-2364</v>
      </c>
      <c r="M32" s="87">
        <f t="shared" si="5"/>
        <v>-95.9805115712546</v>
      </c>
      <c r="N32" s="100"/>
    </row>
    <row r="33" s="3" customFormat="1" spans="1:14">
      <c r="A33" s="83" t="s">
        <v>155</v>
      </c>
      <c r="B33" s="84">
        <v>2010401</v>
      </c>
      <c r="C33" s="89" t="s">
        <v>156</v>
      </c>
      <c r="D33" s="86">
        <v>47</v>
      </c>
      <c r="E33" s="86">
        <v>65</v>
      </c>
      <c r="F33" s="19">
        <v>63</v>
      </c>
      <c r="G33" s="87">
        <f t="shared" si="1"/>
        <v>96.9230769230769</v>
      </c>
      <c r="H33" s="88">
        <v>43</v>
      </c>
      <c r="I33" s="86">
        <f t="shared" si="2"/>
        <v>20</v>
      </c>
      <c r="J33" s="87">
        <f t="shared" si="3"/>
        <v>46.5116279069767</v>
      </c>
      <c r="K33" s="88">
        <v>56</v>
      </c>
      <c r="L33" s="88">
        <f t="shared" si="4"/>
        <v>9</v>
      </c>
      <c r="M33" s="87">
        <f t="shared" si="5"/>
        <v>19.1489361702128</v>
      </c>
      <c r="N33" s="100"/>
    </row>
    <row r="34" s="3" customFormat="1" spans="1:14">
      <c r="A34" s="83" t="s">
        <v>155</v>
      </c>
      <c r="B34" s="84">
        <v>2010406</v>
      </c>
      <c r="C34" s="89" t="s">
        <v>175</v>
      </c>
      <c r="D34" s="86"/>
      <c r="E34" s="86">
        <v>10</v>
      </c>
      <c r="F34" s="19">
        <v>10</v>
      </c>
      <c r="G34" s="87">
        <f t="shared" si="1"/>
        <v>100</v>
      </c>
      <c r="H34" s="88">
        <v>1</v>
      </c>
      <c r="I34" s="86">
        <f t="shared" si="2"/>
        <v>9</v>
      </c>
      <c r="J34" s="87">
        <f t="shared" si="3"/>
        <v>900</v>
      </c>
      <c r="K34" s="88"/>
      <c r="L34" s="88">
        <f t="shared" si="4"/>
        <v>0</v>
      </c>
      <c r="M34" s="87">
        <f t="shared" si="5"/>
        <v>0</v>
      </c>
      <c r="N34" s="100"/>
    </row>
    <row r="35" s="3" customFormat="1" spans="1:14">
      <c r="A35" s="83" t="s">
        <v>155</v>
      </c>
      <c r="B35" s="84">
        <v>2010407</v>
      </c>
      <c r="C35" s="89" t="s">
        <v>176</v>
      </c>
      <c r="D35" s="86"/>
      <c r="E35" s="86"/>
      <c r="F35" s="19"/>
      <c r="G35" s="87">
        <f t="shared" si="1"/>
        <v>0</v>
      </c>
      <c r="H35" s="88"/>
      <c r="I35" s="86">
        <f t="shared" si="2"/>
        <v>0</v>
      </c>
      <c r="J35" s="87">
        <f t="shared" si="3"/>
        <v>0</v>
      </c>
      <c r="K35" s="88"/>
      <c r="L35" s="88">
        <f t="shared" si="4"/>
        <v>0</v>
      </c>
      <c r="M35" s="87">
        <f t="shared" si="5"/>
        <v>0</v>
      </c>
      <c r="N35" s="100"/>
    </row>
    <row r="36" s="3" customFormat="1" spans="1:14">
      <c r="A36" s="83" t="s">
        <v>155</v>
      </c>
      <c r="B36" s="84">
        <v>2010450</v>
      </c>
      <c r="C36" s="89" t="s">
        <v>172</v>
      </c>
      <c r="D36" s="86"/>
      <c r="E36" s="86"/>
      <c r="F36" s="19"/>
      <c r="G36" s="87">
        <f t="shared" si="1"/>
        <v>0</v>
      </c>
      <c r="H36" s="88"/>
      <c r="I36" s="86">
        <f t="shared" si="2"/>
        <v>0</v>
      </c>
      <c r="J36" s="87">
        <f t="shared" si="3"/>
        <v>0</v>
      </c>
      <c r="K36" s="88">
        <v>43</v>
      </c>
      <c r="L36" s="88">
        <f t="shared" si="4"/>
        <v>43</v>
      </c>
      <c r="M36" s="87">
        <f t="shared" si="5"/>
        <v>0</v>
      </c>
      <c r="N36" s="100"/>
    </row>
    <row r="37" s="3" customFormat="1" spans="1:14">
      <c r="A37" s="83" t="s">
        <v>155</v>
      </c>
      <c r="B37" s="84">
        <v>2010499</v>
      </c>
      <c r="C37" s="90" t="s">
        <v>177</v>
      </c>
      <c r="D37" s="86">
        <f>2000+16+400</f>
        <v>2416</v>
      </c>
      <c r="E37" s="86">
        <f>74+30</f>
        <v>104</v>
      </c>
      <c r="F37" s="19">
        <v>27</v>
      </c>
      <c r="G37" s="87">
        <f t="shared" si="1"/>
        <v>25.9615384615385</v>
      </c>
      <c r="H37" s="88">
        <v>261</v>
      </c>
      <c r="I37" s="86">
        <f t="shared" si="2"/>
        <v>-234</v>
      </c>
      <c r="J37" s="87">
        <f t="shared" si="3"/>
        <v>-89.6551724137931</v>
      </c>
      <c r="K37" s="88"/>
      <c r="L37" s="88">
        <f t="shared" si="4"/>
        <v>-2416</v>
      </c>
      <c r="M37" s="87">
        <f t="shared" si="5"/>
        <v>-100</v>
      </c>
      <c r="N37" s="100"/>
    </row>
    <row r="38" s="3" customFormat="1" spans="1:14">
      <c r="A38" s="83" t="s">
        <v>153</v>
      </c>
      <c r="B38" s="84">
        <v>20105</v>
      </c>
      <c r="C38" s="90" t="s">
        <v>178</v>
      </c>
      <c r="D38" s="86">
        <f t="shared" ref="D38:F38" si="10">SUM(D39:D47)</f>
        <v>136</v>
      </c>
      <c r="E38" s="86">
        <f t="shared" si="10"/>
        <v>172</v>
      </c>
      <c r="F38" s="19">
        <f t="shared" si="10"/>
        <v>169</v>
      </c>
      <c r="G38" s="87">
        <f t="shared" si="1"/>
        <v>98.2558139534884</v>
      </c>
      <c r="H38" s="88">
        <f>SUM(H39:H47)</f>
        <v>230</v>
      </c>
      <c r="I38" s="86">
        <f t="shared" si="2"/>
        <v>-61</v>
      </c>
      <c r="J38" s="87">
        <f t="shared" si="3"/>
        <v>-26.5217391304348</v>
      </c>
      <c r="K38" s="88">
        <f>SUM(K39:K47)</f>
        <v>98</v>
      </c>
      <c r="L38" s="88">
        <f t="shared" si="4"/>
        <v>-38</v>
      </c>
      <c r="M38" s="87">
        <f t="shared" si="5"/>
        <v>-27.9411764705882</v>
      </c>
      <c r="N38" s="100"/>
    </row>
    <row r="39" s="3" customFormat="1" spans="1:14">
      <c r="A39" s="83" t="s">
        <v>155</v>
      </c>
      <c r="B39" s="84">
        <v>2010501</v>
      </c>
      <c r="C39" s="90" t="s">
        <v>156</v>
      </c>
      <c r="D39" s="86">
        <v>35</v>
      </c>
      <c r="E39" s="86">
        <v>45</v>
      </c>
      <c r="F39" s="19">
        <v>44</v>
      </c>
      <c r="G39" s="87">
        <f t="shared" si="1"/>
        <v>97.7777777777778</v>
      </c>
      <c r="H39" s="88">
        <v>33</v>
      </c>
      <c r="I39" s="86">
        <f t="shared" si="2"/>
        <v>11</v>
      </c>
      <c r="J39" s="87">
        <f t="shared" si="3"/>
        <v>33.3333333333333</v>
      </c>
      <c r="K39" s="88">
        <v>26</v>
      </c>
      <c r="L39" s="88">
        <f t="shared" si="4"/>
        <v>-9</v>
      </c>
      <c r="M39" s="87">
        <f t="shared" si="5"/>
        <v>-25.7142857142857</v>
      </c>
      <c r="N39" s="100"/>
    </row>
    <row r="40" s="3" customFormat="1" spans="1:14">
      <c r="A40" s="83" t="s">
        <v>155</v>
      </c>
      <c r="B40" s="84">
        <v>2010502</v>
      </c>
      <c r="C40" s="85" t="s">
        <v>157</v>
      </c>
      <c r="D40" s="86"/>
      <c r="E40" s="86">
        <v>5</v>
      </c>
      <c r="F40" s="19">
        <v>5</v>
      </c>
      <c r="G40" s="87">
        <f t="shared" si="1"/>
        <v>100</v>
      </c>
      <c r="H40" s="88">
        <v>4</v>
      </c>
      <c r="I40" s="86">
        <f t="shared" si="2"/>
        <v>1</v>
      </c>
      <c r="J40" s="87">
        <f t="shared" si="3"/>
        <v>25</v>
      </c>
      <c r="K40" s="88"/>
      <c r="L40" s="88">
        <f t="shared" si="4"/>
        <v>0</v>
      </c>
      <c r="M40" s="87">
        <f t="shared" si="5"/>
        <v>0</v>
      </c>
      <c r="N40" s="100"/>
    </row>
    <row r="41" s="3" customFormat="1" hidden="1" spans="1:14">
      <c r="A41" s="83" t="s">
        <v>155</v>
      </c>
      <c r="B41" s="84">
        <v>2010504</v>
      </c>
      <c r="C41" s="89" t="s">
        <v>179</v>
      </c>
      <c r="D41" s="86"/>
      <c r="E41" s="86"/>
      <c r="F41" s="19"/>
      <c r="G41" s="87">
        <f t="shared" si="1"/>
        <v>0</v>
      </c>
      <c r="H41" s="88"/>
      <c r="I41" s="86">
        <f t="shared" si="2"/>
        <v>0</v>
      </c>
      <c r="J41" s="87">
        <f t="shared" si="3"/>
        <v>0</v>
      </c>
      <c r="K41" s="88"/>
      <c r="L41" s="88">
        <f t="shared" si="4"/>
        <v>0</v>
      </c>
      <c r="M41" s="87">
        <f t="shared" si="5"/>
        <v>0</v>
      </c>
      <c r="N41" s="100"/>
    </row>
    <row r="42" s="3" customFormat="1" spans="1:14">
      <c r="A42" s="83" t="s">
        <v>155</v>
      </c>
      <c r="B42" s="84">
        <v>2010505</v>
      </c>
      <c r="C42" s="89" t="s">
        <v>180</v>
      </c>
      <c r="D42" s="86"/>
      <c r="E42" s="86">
        <v>1</v>
      </c>
      <c r="F42" s="19">
        <v>1</v>
      </c>
      <c r="G42" s="87">
        <f t="shared" si="1"/>
        <v>100</v>
      </c>
      <c r="H42" s="88">
        <v>1</v>
      </c>
      <c r="I42" s="86">
        <f t="shared" si="2"/>
        <v>0</v>
      </c>
      <c r="J42" s="87">
        <f t="shared" si="3"/>
        <v>0</v>
      </c>
      <c r="K42" s="88"/>
      <c r="L42" s="88">
        <f t="shared" si="4"/>
        <v>0</v>
      </c>
      <c r="M42" s="87">
        <f t="shared" si="5"/>
        <v>0</v>
      </c>
      <c r="N42" s="100"/>
    </row>
    <row r="43" s="3" customFormat="1" hidden="1" spans="1:14">
      <c r="A43" s="83" t="s">
        <v>155</v>
      </c>
      <c r="B43" s="84">
        <v>2010506</v>
      </c>
      <c r="C43" s="90" t="s">
        <v>181</v>
      </c>
      <c r="D43" s="86"/>
      <c r="E43" s="86"/>
      <c r="F43" s="19"/>
      <c r="G43" s="87">
        <f t="shared" si="1"/>
        <v>0</v>
      </c>
      <c r="H43" s="88"/>
      <c r="I43" s="86">
        <f t="shared" si="2"/>
        <v>0</v>
      </c>
      <c r="J43" s="87">
        <f t="shared" si="3"/>
        <v>0</v>
      </c>
      <c r="K43" s="88"/>
      <c r="L43" s="88">
        <f t="shared" si="4"/>
        <v>0</v>
      </c>
      <c r="M43" s="87">
        <f t="shared" si="5"/>
        <v>0</v>
      </c>
      <c r="N43" s="100"/>
    </row>
    <row r="44" s="3" customFormat="1" spans="1:14">
      <c r="A44" s="83" t="s">
        <v>155</v>
      </c>
      <c r="B44" s="84">
        <v>2010507</v>
      </c>
      <c r="C44" s="90" t="s">
        <v>182</v>
      </c>
      <c r="D44" s="86"/>
      <c r="E44" s="86"/>
      <c r="F44" s="19"/>
      <c r="G44" s="87">
        <f t="shared" si="1"/>
        <v>0</v>
      </c>
      <c r="H44" s="88">
        <v>13</v>
      </c>
      <c r="I44" s="86">
        <f t="shared" si="2"/>
        <v>-13</v>
      </c>
      <c r="J44" s="87">
        <f t="shared" si="3"/>
        <v>-100</v>
      </c>
      <c r="K44" s="88"/>
      <c r="L44" s="88">
        <f t="shared" si="4"/>
        <v>0</v>
      </c>
      <c r="M44" s="87">
        <f t="shared" si="5"/>
        <v>0</v>
      </c>
      <c r="N44" s="100"/>
    </row>
    <row r="45" s="3" customFormat="1" spans="1:14">
      <c r="A45" s="83" t="s">
        <v>155</v>
      </c>
      <c r="B45" s="84">
        <v>2010508</v>
      </c>
      <c r="C45" s="90" t="s">
        <v>183</v>
      </c>
      <c r="D45" s="86"/>
      <c r="E45" s="86">
        <v>1</v>
      </c>
      <c r="F45" s="19">
        <v>1</v>
      </c>
      <c r="G45" s="87">
        <f t="shared" si="1"/>
        <v>100</v>
      </c>
      <c r="H45" s="88">
        <v>1</v>
      </c>
      <c r="I45" s="86">
        <f t="shared" si="2"/>
        <v>0</v>
      </c>
      <c r="J45" s="87">
        <f t="shared" si="3"/>
        <v>0</v>
      </c>
      <c r="K45" s="88"/>
      <c r="L45" s="88">
        <f t="shared" si="4"/>
        <v>0</v>
      </c>
      <c r="M45" s="87">
        <f t="shared" si="5"/>
        <v>0</v>
      </c>
      <c r="N45" s="100"/>
    </row>
    <row r="46" s="3" customFormat="1" spans="1:14">
      <c r="A46" s="83" t="s">
        <v>155</v>
      </c>
      <c r="B46" s="84">
        <v>2010550</v>
      </c>
      <c r="C46" s="89" t="s">
        <v>172</v>
      </c>
      <c r="D46" s="86">
        <v>59</v>
      </c>
      <c r="E46" s="86">
        <v>55</v>
      </c>
      <c r="F46" s="19">
        <v>54</v>
      </c>
      <c r="G46" s="87">
        <f t="shared" si="1"/>
        <v>98.1818181818182</v>
      </c>
      <c r="H46" s="88">
        <v>76</v>
      </c>
      <c r="I46" s="86">
        <f t="shared" si="2"/>
        <v>-22</v>
      </c>
      <c r="J46" s="87">
        <f t="shared" si="3"/>
        <v>-28.9473684210526</v>
      </c>
      <c r="K46" s="88">
        <v>72</v>
      </c>
      <c r="L46" s="88">
        <f t="shared" si="4"/>
        <v>13</v>
      </c>
      <c r="M46" s="87">
        <f t="shared" si="5"/>
        <v>22.0338983050847</v>
      </c>
      <c r="N46" s="100"/>
    </row>
    <row r="47" s="3" customFormat="1" spans="1:14">
      <c r="A47" s="83" t="s">
        <v>155</v>
      </c>
      <c r="B47" s="84">
        <v>2010599</v>
      </c>
      <c r="C47" s="90" t="s">
        <v>184</v>
      </c>
      <c r="D47" s="86">
        <v>42</v>
      </c>
      <c r="E47" s="86">
        <v>65</v>
      </c>
      <c r="F47" s="19">
        <v>64</v>
      </c>
      <c r="G47" s="87">
        <f t="shared" si="1"/>
        <v>98.4615384615385</v>
      </c>
      <c r="H47" s="88">
        <v>102</v>
      </c>
      <c r="I47" s="86">
        <f t="shared" si="2"/>
        <v>-38</v>
      </c>
      <c r="J47" s="87">
        <f t="shared" si="3"/>
        <v>-37.2549019607843</v>
      </c>
      <c r="K47" s="88"/>
      <c r="L47" s="88">
        <f t="shared" si="4"/>
        <v>-42</v>
      </c>
      <c r="M47" s="87">
        <f t="shared" si="5"/>
        <v>-100</v>
      </c>
      <c r="N47" s="100"/>
    </row>
    <row r="48" s="3" customFormat="1" spans="1:14">
      <c r="A48" s="83" t="s">
        <v>153</v>
      </c>
      <c r="B48" s="84">
        <v>20106</v>
      </c>
      <c r="C48" s="91" t="s">
        <v>185</v>
      </c>
      <c r="D48" s="86">
        <f t="shared" ref="D48:F48" si="11">SUM(D49:D55)</f>
        <v>282</v>
      </c>
      <c r="E48" s="86">
        <f t="shared" si="11"/>
        <v>563</v>
      </c>
      <c r="F48" s="19">
        <f t="shared" si="11"/>
        <v>558</v>
      </c>
      <c r="G48" s="87">
        <f t="shared" si="1"/>
        <v>99.1119005328597</v>
      </c>
      <c r="H48" s="88">
        <f>SUM(H49:H55)</f>
        <v>437</v>
      </c>
      <c r="I48" s="86">
        <f t="shared" si="2"/>
        <v>121</v>
      </c>
      <c r="J48" s="87">
        <f t="shared" si="3"/>
        <v>27.6887871853547</v>
      </c>
      <c r="K48" s="88">
        <f>SUM(K49:K55)</f>
        <v>173</v>
      </c>
      <c r="L48" s="88">
        <f t="shared" si="4"/>
        <v>-109</v>
      </c>
      <c r="M48" s="87">
        <f t="shared" si="5"/>
        <v>-38.6524822695035</v>
      </c>
      <c r="N48" s="100"/>
    </row>
    <row r="49" s="3" customFormat="1" spans="1:14">
      <c r="A49" s="83" t="s">
        <v>155</v>
      </c>
      <c r="B49" s="84">
        <v>2010601</v>
      </c>
      <c r="C49" s="90" t="s">
        <v>156</v>
      </c>
      <c r="D49" s="86">
        <v>252</v>
      </c>
      <c r="E49" s="86">
        <v>370</v>
      </c>
      <c r="F49" s="19">
        <v>366</v>
      </c>
      <c r="G49" s="87">
        <f t="shared" si="1"/>
        <v>98.9189189189189</v>
      </c>
      <c r="H49" s="88">
        <v>393</v>
      </c>
      <c r="I49" s="86">
        <f t="shared" si="2"/>
        <v>-27</v>
      </c>
      <c r="J49" s="87">
        <f t="shared" si="3"/>
        <v>-6.87022900763359</v>
      </c>
      <c r="K49" s="88">
        <v>148</v>
      </c>
      <c r="L49" s="88">
        <f t="shared" si="4"/>
        <v>-104</v>
      </c>
      <c r="M49" s="87">
        <f t="shared" si="5"/>
        <v>-41.2698412698413</v>
      </c>
      <c r="N49" s="100"/>
    </row>
    <row r="50" s="3" customFormat="1" spans="1:14">
      <c r="A50" s="83" t="s">
        <v>155</v>
      </c>
      <c r="B50" s="84">
        <v>2010602</v>
      </c>
      <c r="C50" s="85" t="s">
        <v>157</v>
      </c>
      <c r="D50" s="86"/>
      <c r="E50" s="86">
        <v>7</v>
      </c>
      <c r="F50" s="19">
        <v>7</v>
      </c>
      <c r="G50" s="87">
        <f t="shared" si="1"/>
        <v>100</v>
      </c>
      <c r="H50" s="88"/>
      <c r="I50" s="86">
        <f t="shared" si="2"/>
        <v>7</v>
      </c>
      <c r="J50" s="87">
        <f t="shared" si="3"/>
        <v>0</v>
      </c>
      <c r="K50" s="88">
        <v>25</v>
      </c>
      <c r="L50" s="88">
        <f t="shared" si="4"/>
        <v>25</v>
      </c>
      <c r="M50" s="87">
        <f t="shared" si="5"/>
        <v>0</v>
      </c>
      <c r="N50" s="100"/>
    </row>
    <row r="51" s="3" customFormat="1" spans="1:14">
      <c r="A51" s="83" t="s">
        <v>155</v>
      </c>
      <c r="B51" s="84">
        <v>2010604</v>
      </c>
      <c r="C51" s="85" t="s">
        <v>186</v>
      </c>
      <c r="D51" s="86">
        <v>8</v>
      </c>
      <c r="E51" s="86">
        <v>0</v>
      </c>
      <c r="F51" s="19"/>
      <c r="G51" s="87">
        <f t="shared" si="1"/>
        <v>0</v>
      </c>
      <c r="H51" s="88"/>
      <c r="I51" s="86">
        <f t="shared" si="2"/>
        <v>0</v>
      </c>
      <c r="J51" s="87">
        <f t="shared" si="3"/>
        <v>0</v>
      </c>
      <c r="K51" s="88"/>
      <c r="L51" s="88">
        <f t="shared" si="4"/>
        <v>-8</v>
      </c>
      <c r="M51" s="87">
        <f t="shared" si="5"/>
        <v>-100</v>
      </c>
      <c r="N51" s="100"/>
    </row>
    <row r="52" s="3" customFormat="1" spans="1:14">
      <c r="A52" s="83" t="s">
        <v>155</v>
      </c>
      <c r="B52" s="84">
        <v>2010605</v>
      </c>
      <c r="C52" s="85" t="s">
        <v>187</v>
      </c>
      <c r="D52" s="86">
        <v>1</v>
      </c>
      <c r="E52" s="86">
        <v>21</v>
      </c>
      <c r="F52" s="19">
        <v>21</v>
      </c>
      <c r="G52" s="87">
        <f t="shared" si="1"/>
        <v>100</v>
      </c>
      <c r="H52" s="88">
        <v>18</v>
      </c>
      <c r="I52" s="86">
        <f t="shared" si="2"/>
        <v>3</v>
      </c>
      <c r="J52" s="87">
        <f t="shared" si="3"/>
        <v>16.6666666666667</v>
      </c>
      <c r="K52" s="88"/>
      <c r="L52" s="88">
        <f t="shared" si="4"/>
        <v>-1</v>
      </c>
      <c r="M52" s="87">
        <f t="shared" si="5"/>
        <v>-100</v>
      </c>
      <c r="N52" s="100"/>
    </row>
    <row r="53" s="3" customFormat="1" spans="1:14">
      <c r="A53" s="83" t="s">
        <v>155</v>
      </c>
      <c r="B53" s="84">
        <v>2010607</v>
      </c>
      <c r="C53" s="89" t="s">
        <v>188</v>
      </c>
      <c r="D53" s="86"/>
      <c r="E53" s="86">
        <v>20</v>
      </c>
      <c r="F53" s="19">
        <v>20</v>
      </c>
      <c r="G53" s="87">
        <f t="shared" si="1"/>
        <v>100</v>
      </c>
      <c r="H53" s="88">
        <v>9</v>
      </c>
      <c r="I53" s="86">
        <f t="shared" si="2"/>
        <v>11</v>
      </c>
      <c r="J53" s="87">
        <f t="shared" si="3"/>
        <v>122.222222222222</v>
      </c>
      <c r="K53" s="88"/>
      <c r="L53" s="88">
        <f t="shared" si="4"/>
        <v>0</v>
      </c>
      <c r="M53" s="87">
        <f t="shared" si="5"/>
        <v>0</v>
      </c>
      <c r="N53" s="100"/>
    </row>
    <row r="54" s="3" customFormat="1" spans="1:14">
      <c r="A54" s="83" t="s">
        <v>155</v>
      </c>
      <c r="B54" s="84">
        <v>2010608</v>
      </c>
      <c r="C54" s="90" t="s">
        <v>189</v>
      </c>
      <c r="D54" s="86"/>
      <c r="E54" s="86"/>
      <c r="F54" s="19"/>
      <c r="G54" s="87">
        <f t="shared" si="1"/>
        <v>0</v>
      </c>
      <c r="H54" s="88"/>
      <c r="I54" s="86">
        <f t="shared" si="2"/>
        <v>0</v>
      </c>
      <c r="J54" s="87">
        <f t="shared" si="3"/>
        <v>0</v>
      </c>
      <c r="K54" s="88"/>
      <c r="L54" s="88">
        <f t="shared" si="4"/>
        <v>0</v>
      </c>
      <c r="M54" s="87">
        <f t="shared" si="5"/>
        <v>0</v>
      </c>
      <c r="N54" s="100"/>
    </row>
    <row r="55" s="3" customFormat="1" spans="1:14">
      <c r="A55" s="83" t="s">
        <v>155</v>
      </c>
      <c r="B55" s="84">
        <v>2010699</v>
      </c>
      <c r="C55" s="90" t="s">
        <v>190</v>
      </c>
      <c r="D55" s="86">
        <v>21</v>
      </c>
      <c r="E55" s="86">
        <v>145</v>
      </c>
      <c r="F55" s="19">
        <v>144</v>
      </c>
      <c r="G55" s="87">
        <f t="shared" si="1"/>
        <v>99.3103448275862</v>
      </c>
      <c r="H55" s="88">
        <v>17</v>
      </c>
      <c r="I55" s="86">
        <f t="shared" si="2"/>
        <v>127</v>
      </c>
      <c r="J55" s="87">
        <f t="shared" si="3"/>
        <v>747.058823529412</v>
      </c>
      <c r="K55" s="88"/>
      <c r="L55" s="88">
        <f t="shared" si="4"/>
        <v>-21</v>
      </c>
      <c r="M55" s="87">
        <f t="shared" si="5"/>
        <v>-100</v>
      </c>
      <c r="N55" s="100"/>
    </row>
    <row r="56" s="3" customFormat="1" spans="1:14">
      <c r="A56" s="83" t="s">
        <v>153</v>
      </c>
      <c r="B56" s="84">
        <v>20107</v>
      </c>
      <c r="C56" s="89" t="s">
        <v>191</v>
      </c>
      <c r="D56" s="86">
        <f t="shared" ref="D56:F56" si="12">SUM(D57:D61)</f>
        <v>48</v>
      </c>
      <c r="E56" s="86">
        <f t="shared" si="12"/>
        <v>85</v>
      </c>
      <c r="F56" s="92">
        <f t="shared" si="12"/>
        <v>78</v>
      </c>
      <c r="G56" s="87">
        <f t="shared" si="1"/>
        <v>91.7647058823529</v>
      </c>
      <c r="H56" s="88">
        <f>SUM(H57:H61)</f>
        <v>65</v>
      </c>
      <c r="I56" s="86">
        <f t="shared" si="2"/>
        <v>13</v>
      </c>
      <c r="J56" s="87">
        <f t="shared" si="3"/>
        <v>20</v>
      </c>
      <c r="K56" s="88">
        <f>SUM(K57:K61)</f>
        <v>48</v>
      </c>
      <c r="L56" s="88">
        <f t="shared" si="4"/>
        <v>0</v>
      </c>
      <c r="M56" s="87">
        <f t="shared" si="5"/>
        <v>0</v>
      </c>
      <c r="N56" s="100"/>
    </row>
    <row r="57" s="3" customFormat="1" hidden="1" spans="1:14">
      <c r="A57" s="83" t="s">
        <v>155</v>
      </c>
      <c r="B57" s="84">
        <v>2010702</v>
      </c>
      <c r="C57" s="89" t="s">
        <v>157</v>
      </c>
      <c r="D57" s="86"/>
      <c r="E57" s="86"/>
      <c r="F57" s="19"/>
      <c r="G57" s="87">
        <f t="shared" si="1"/>
        <v>0</v>
      </c>
      <c r="H57" s="88"/>
      <c r="I57" s="86">
        <f t="shared" si="2"/>
        <v>0</v>
      </c>
      <c r="J57" s="87">
        <f t="shared" si="3"/>
        <v>0</v>
      </c>
      <c r="K57" s="88"/>
      <c r="L57" s="88">
        <f t="shared" si="4"/>
        <v>0</v>
      </c>
      <c r="M57" s="87">
        <f t="shared" si="5"/>
        <v>0</v>
      </c>
      <c r="N57" s="100"/>
    </row>
    <row r="58" s="3" customFormat="1" hidden="1" spans="1:14">
      <c r="A58" s="83" t="s">
        <v>155</v>
      </c>
      <c r="B58" s="84">
        <v>2010707</v>
      </c>
      <c r="C58" s="89" t="s">
        <v>192</v>
      </c>
      <c r="D58" s="86"/>
      <c r="E58" s="86"/>
      <c r="F58" s="19"/>
      <c r="G58" s="87">
        <f t="shared" si="1"/>
        <v>0</v>
      </c>
      <c r="H58" s="88"/>
      <c r="I58" s="86">
        <f t="shared" si="2"/>
        <v>0</v>
      </c>
      <c r="J58" s="87">
        <f t="shared" si="3"/>
        <v>0</v>
      </c>
      <c r="K58" s="88"/>
      <c r="L58" s="88">
        <f t="shared" si="4"/>
        <v>0</v>
      </c>
      <c r="M58" s="87">
        <f t="shared" si="5"/>
        <v>0</v>
      </c>
      <c r="N58" s="100"/>
    </row>
    <row r="59" s="3" customFormat="1" ht="16" customHeight="1" spans="1:14">
      <c r="A59" s="83" t="s">
        <v>155</v>
      </c>
      <c r="B59" s="84">
        <v>2010708</v>
      </c>
      <c r="C59" s="89" t="s">
        <v>193</v>
      </c>
      <c r="D59" s="86">
        <v>48</v>
      </c>
      <c r="E59" s="86">
        <v>0</v>
      </c>
      <c r="F59" s="19"/>
      <c r="G59" s="87">
        <f t="shared" si="1"/>
        <v>0</v>
      </c>
      <c r="H59" s="88"/>
      <c r="I59" s="86">
        <f t="shared" si="2"/>
        <v>0</v>
      </c>
      <c r="J59" s="87">
        <f t="shared" si="3"/>
        <v>0</v>
      </c>
      <c r="K59" s="88">
        <v>48</v>
      </c>
      <c r="L59" s="88">
        <f t="shared" si="4"/>
        <v>0</v>
      </c>
      <c r="M59" s="87">
        <f t="shared" si="5"/>
        <v>0</v>
      </c>
      <c r="N59" s="100"/>
    </row>
    <row r="60" s="3" customFormat="1" spans="1:14">
      <c r="A60" s="83" t="s">
        <v>155</v>
      </c>
      <c r="B60" s="84">
        <v>2010710</v>
      </c>
      <c r="C60" s="89" t="s">
        <v>194</v>
      </c>
      <c r="D60" s="86"/>
      <c r="E60" s="86">
        <v>55</v>
      </c>
      <c r="F60" s="19">
        <v>51</v>
      </c>
      <c r="G60" s="87">
        <f t="shared" si="1"/>
        <v>92.7272727272727</v>
      </c>
      <c r="H60" s="88"/>
      <c r="I60" s="86">
        <f t="shared" si="2"/>
        <v>51</v>
      </c>
      <c r="J60" s="87">
        <f t="shared" si="3"/>
        <v>0</v>
      </c>
      <c r="K60" s="88"/>
      <c r="L60" s="88">
        <f t="shared" si="4"/>
        <v>0</v>
      </c>
      <c r="M60" s="87">
        <f t="shared" si="5"/>
        <v>0</v>
      </c>
      <c r="N60" s="100"/>
    </row>
    <row r="61" s="3" customFormat="1" spans="1:14">
      <c r="A61" s="83" t="s">
        <v>155</v>
      </c>
      <c r="B61" s="84">
        <v>2010799</v>
      </c>
      <c r="C61" s="89" t="s">
        <v>195</v>
      </c>
      <c r="D61" s="86"/>
      <c r="E61" s="86">
        <v>30</v>
      </c>
      <c r="F61" s="19">
        <v>27</v>
      </c>
      <c r="G61" s="87">
        <f t="shared" si="1"/>
        <v>90</v>
      </c>
      <c r="H61" s="88">
        <v>65</v>
      </c>
      <c r="I61" s="86">
        <f t="shared" si="2"/>
        <v>-38</v>
      </c>
      <c r="J61" s="87">
        <f t="shared" si="3"/>
        <v>-58.4615384615385</v>
      </c>
      <c r="K61" s="88"/>
      <c r="L61" s="88">
        <f t="shared" si="4"/>
        <v>0</v>
      </c>
      <c r="M61" s="87">
        <f t="shared" si="5"/>
        <v>0</v>
      </c>
      <c r="N61" s="100"/>
    </row>
    <row r="62" s="3" customFormat="1" spans="1:14">
      <c r="A62" s="83" t="s">
        <v>153</v>
      </c>
      <c r="B62" s="84">
        <v>20108</v>
      </c>
      <c r="C62" s="90" t="s">
        <v>196</v>
      </c>
      <c r="D62" s="86">
        <f t="shared" ref="D62:F62" si="13">SUM(D63:D67)</f>
        <v>32</v>
      </c>
      <c r="E62" s="86">
        <f t="shared" si="13"/>
        <v>37</v>
      </c>
      <c r="F62" s="19">
        <f t="shared" si="13"/>
        <v>37</v>
      </c>
      <c r="G62" s="87">
        <f t="shared" si="1"/>
        <v>100</v>
      </c>
      <c r="H62" s="88">
        <f>SUM(H63:H67)</f>
        <v>27</v>
      </c>
      <c r="I62" s="86">
        <f t="shared" si="2"/>
        <v>10</v>
      </c>
      <c r="J62" s="87">
        <f t="shared" si="3"/>
        <v>37.037037037037</v>
      </c>
      <c r="K62" s="88">
        <f>SUM(K63:K67)</f>
        <v>34</v>
      </c>
      <c r="L62" s="88">
        <f t="shared" si="4"/>
        <v>2</v>
      </c>
      <c r="M62" s="87">
        <f t="shared" si="5"/>
        <v>6.25</v>
      </c>
      <c r="N62" s="100"/>
    </row>
    <row r="63" s="3" customFormat="1" spans="1:14">
      <c r="A63" s="83" t="s">
        <v>155</v>
      </c>
      <c r="B63" s="84">
        <v>2010801</v>
      </c>
      <c r="C63" s="89" t="s">
        <v>156</v>
      </c>
      <c r="D63" s="86">
        <v>32</v>
      </c>
      <c r="E63" s="86">
        <v>36</v>
      </c>
      <c r="F63" s="19">
        <v>36</v>
      </c>
      <c r="G63" s="87">
        <f t="shared" si="1"/>
        <v>100</v>
      </c>
      <c r="H63" s="88">
        <v>27</v>
      </c>
      <c r="I63" s="86">
        <f t="shared" si="2"/>
        <v>9</v>
      </c>
      <c r="J63" s="87">
        <f t="shared" si="3"/>
        <v>33.3333333333333</v>
      </c>
      <c r="K63" s="88">
        <v>34</v>
      </c>
      <c r="L63" s="88">
        <f t="shared" si="4"/>
        <v>2</v>
      </c>
      <c r="M63" s="87">
        <f t="shared" si="5"/>
        <v>6.25</v>
      </c>
      <c r="N63" s="100"/>
    </row>
    <row r="64" s="3" customFormat="1" hidden="1" spans="1:14">
      <c r="A64" s="83" t="s">
        <v>155</v>
      </c>
      <c r="B64" s="84">
        <v>2010802</v>
      </c>
      <c r="C64" s="89" t="s">
        <v>157</v>
      </c>
      <c r="D64" s="86"/>
      <c r="E64" s="86"/>
      <c r="F64" s="19"/>
      <c r="G64" s="87">
        <f t="shared" si="1"/>
        <v>0</v>
      </c>
      <c r="H64" s="88"/>
      <c r="I64" s="86">
        <f t="shared" si="2"/>
        <v>0</v>
      </c>
      <c r="J64" s="87">
        <f t="shared" si="3"/>
        <v>0</v>
      </c>
      <c r="K64" s="88"/>
      <c r="L64" s="88">
        <f t="shared" si="4"/>
        <v>0</v>
      </c>
      <c r="M64" s="87">
        <f t="shared" si="5"/>
        <v>0</v>
      </c>
      <c r="N64" s="100"/>
    </row>
    <row r="65" s="3" customFormat="1" spans="1:14">
      <c r="A65" s="83" t="s">
        <v>155</v>
      </c>
      <c r="B65" s="84">
        <v>2010804</v>
      </c>
      <c r="C65" s="101" t="s">
        <v>197</v>
      </c>
      <c r="D65" s="86"/>
      <c r="E65" s="86">
        <v>1</v>
      </c>
      <c r="F65" s="19">
        <v>1</v>
      </c>
      <c r="G65" s="87">
        <f t="shared" si="1"/>
        <v>100</v>
      </c>
      <c r="H65" s="88"/>
      <c r="I65" s="86">
        <f t="shared" si="2"/>
        <v>1</v>
      </c>
      <c r="J65" s="87">
        <f t="shared" si="3"/>
        <v>0</v>
      </c>
      <c r="K65" s="88"/>
      <c r="L65" s="88">
        <f t="shared" si="4"/>
        <v>0</v>
      </c>
      <c r="M65" s="87">
        <f t="shared" si="5"/>
        <v>0</v>
      </c>
      <c r="N65" s="100"/>
    </row>
    <row r="66" s="3" customFormat="1" hidden="1" spans="1:14">
      <c r="A66" s="83" t="s">
        <v>155</v>
      </c>
      <c r="B66" s="84">
        <v>2010850</v>
      </c>
      <c r="C66" s="90" t="s">
        <v>172</v>
      </c>
      <c r="D66" s="86"/>
      <c r="E66" s="86"/>
      <c r="F66" s="19"/>
      <c r="G66" s="87">
        <f t="shared" si="1"/>
        <v>0</v>
      </c>
      <c r="H66" s="88"/>
      <c r="I66" s="86">
        <f t="shared" si="2"/>
        <v>0</v>
      </c>
      <c r="J66" s="87">
        <f t="shared" si="3"/>
        <v>0</v>
      </c>
      <c r="K66" s="88"/>
      <c r="L66" s="88">
        <f t="shared" si="4"/>
        <v>0</v>
      </c>
      <c r="M66" s="87">
        <f t="shared" si="5"/>
        <v>0</v>
      </c>
      <c r="N66" s="100"/>
    </row>
    <row r="67" s="3" customFormat="1" hidden="1" spans="1:14">
      <c r="A67" s="83" t="s">
        <v>155</v>
      </c>
      <c r="B67" s="84">
        <v>2010899</v>
      </c>
      <c r="C67" s="85" t="s">
        <v>198</v>
      </c>
      <c r="D67" s="86"/>
      <c r="E67" s="86"/>
      <c r="F67" s="19"/>
      <c r="G67" s="87">
        <f t="shared" si="1"/>
        <v>0</v>
      </c>
      <c r="H67" s="88"/>
      <c r="I67" s="86">
        <f t="shared" si="2"/>
        <v>0</v>
      </c>
      <c r="J67" s="87">
        <f t="shared" si="3"/>
        <v>0</v>
      </c>
      <c r="K67" s="88"/>
      <c r="L67" s="88">
        <f t="shared" si="4"/>
        <v>0</v>
      </c>
      <c r="M67" s="87">
        <f t="shared" si="5"/>
        <v>0</v>
      </c>
      <c r="N67" s="100"/>
    </row>
    <row r="68" s="3" customFormat="1" spans="1:14">
      <c r="A68" s="83" t="s">
        <v>153</v>
      </c>
      <c r="B68" s="84">
        <v>20109</v>
      </c>
      <c r="C68" s="89" t="s">
        <v>199</v>
      </c>
      <c r="D68" s="86">
        <f t="shared" ref="D68:F68" si="14">SUM(D69:D69)</f>
        <v>0</v>
      </c>
      <c r="E68" s="86">
        <f t="shared" si="14"/>
        <v>0</v>
      </c>
      <c r="F68" s="19">
        <f t="shared" si="14"/>
        <v>0</v>
      </c>
      <c r="G68" s="87">
        <f t="shared" si="1"/>
        <v>0</v>
      </c>
      <c r="H68" s="88">
        <f>SUM(H69:H69)</f>
        <v>0</v>
      </c>
      <c r="I68" s="86">
        <f t="shared" si="2"/>
        <v>0</v>
      </c>
      <c r="J68" s="87">
        <f t="shared" si="3"/>
        <v>0</v>
      </c>
      <c r="K68" s="88">
        <f>SUM(K69:K69)</f>
        <v>0</v>
      </c>
      <c r="L68" s="88">
        <f t="shared" si="4"/>
        <v>0</v>
      </c>
      <c r="M68" s="87">
        <f t="shared" si="5"/>
        <v>0</v>
      </c>
      <c r="N68" s="100"/>
    </row>
    <row r="69" s="3" customFormat="1" spans="1:14">
      <c r="A69" s="83" t="s">
        <v>155</v>
      </c>
      <c r="B69" s="84">
        <v>2010999</v>
      </c>
      <c r="C69" s="90" t="s">
        <v>200</v>
      </c>
      <c r="D69" s="86"/>
      <c r="E69" s="86"/>
      <c r="F69" s="19"/>
      <c r="G69" s="87">
        <f t="shared" si="1"/>
        <v>0</v>
      </c>
      <c r="H69" s="88"/>
      <c r="I69" s="86">
        <f t="shared" si="2"/>
        <v>0</v>
      </c>
      <c r="J69" s="87">
        <f t="shared" si="3"/>
        <v>0</v>
      </c>
      <c r="K69" s="88"/>
      <c r="L69" s="88">
        <f t="shared" si="4"/>
        <v>0</v>
      </c>
      <c r="M69" s="87">
        <f t="shared" si="5"/>
        <v>0</v>
      </c>
      <c r="N69" s="100"/>
    </row>
    <row r="70" s="3" customFormat="1" spans="1:14">
      <c r="A70" s="83" t="s">
        <v>153</v>
      </c>
      <c r="B70" s="84">
        <v>20110</v>
      </c>
      <c r="C70" s="90" t="s">
        <v>201</v>
      </c>
      <c r="D70" s="86">
        <f t="shared" ref="D70:F70" si="15">SUM(D71:D74)</f>
        <v>0</v>
      </c>
      <c r="E70" s="86">
        <f t="shared" si="15"/>
        <v>0</v>
      </c>
      <c r="F70" s="19">
        <f t="shared" si="15"/>
        <v>0</v>
      </c>
      <c r="G70" s="87">
        <f t="shared" si="1"/>
        <v>0</v>
      </c>
      <c r="H70" s="88">
        <f>SUM(H71:H74)</f>
        <v>478</v>
      </c>
      <c r="I70" s="86">
        <f t="shared" si="2"/>
        <v>-478</v>
      </c>
      <c r="J70" s="87">
        <f t="shared" si="3"/>
        <v>-100</v>
      </c>
      <c r="K70" s="88">
        <f>SUM(K71:K74)</f>
        <v>251</v>
      </c>
      <c r="L70" s="88">
        <f t="shared" si="4"/>
        <v>251</v>
      </c>
      <c r="M70" s="87">
        <f t="shared" si="5"/>
        <v>0</v>
      </c>
      <c r="N70" s="100"/>
    </row>
    <row r="71" s="3" customFormat="1" spans="1:14">
      <c r="A71" s="83" t="s">
        <v>155</v>
      </c>
      <c r="B71" s="84">
        <v>2011001</v>
      </c>
      <c r="C71" s="90" t="s">
        <v>156</v>
      </c>
      <c r="D71" s="86"/>
      <c r="E71" s="86"/>
      <c r="F71" s="19"/>
      <c r="G71" s="87">
        <f t="shared" ref="G71:G134" si="16">IF(E71=0,,F71/E71*100)</f>
        <v>0</v>
      </c>
      <c r="H71" s="88">
        <v>42</v>
      </c>
      <c r="I71" s="86">
        <f t="shared" ref="I71:I134" si="17">F71-H71</f>
        <v>-42</v>
      </c>
      <c r="J71" s="87">
        <f t="shared" ref="J71:J134" si="18">IF(H71=0,,I71/H71*100)</f>
        <v>-100</v>
      </c>
      <c r="K71" s="88">
        <v>251</v>
      </c>
      <c r="L71" s="88">
        <f t="shared" ref="L71:L134" si="19">K71-D71</f>
        <v>251</v>
      </c>
      <c r="M71" s="87">
        <f t="shared" ref="M71:M134" si="20">IF(D71=0,,L71/D71*100)</f>
        <v>0</v>
      </c>
      <c r="N71" s="100"/>
    </row>
    <row r="72" s="3" customFormat="1" spans="1:14">
      <c r="A72" s="83" t="s">
        <v>155</v>
      </c>
      <c r="B72" s="84">
        <v>2011002</v>
      </c>
      <c r="C72" s="89" t="s">
        <v>157</v>
      </c>
      <c r="D72" s="86"/>
      <c r="E72" s="86"/>
      <c r="F72" s="19"/>
      <c r="G72" s="87">
        <f t="shared" si="16"/>
        <v>0</v>
      </c>
      <c r="H72" s="88">
        <v>427</v>
      </c>
      <c r="I72" s="86">
        <f t="shared" si="17"/>
        <v>-427</v>
      </c>
      <c r="J72" s="87">
        <f t="shared" si="18"/>
        <v>-100</v>
      </c>
      <c r="K72" s="88"/>
      <c r="L72" s="88">
        <f t="shared" si="19"/>
        <v>0</v>
      </c>
      <c r="M72" s="87">
        <f t="shared" si="20"/>
        <v>0</v>
      </c>
      <c r="N72" s="100"/>
    </row>
    <row r="73" s="3" customFormat="1" hidden="1" spans="1:14">
      <c r="A73" s="83" t="s">
        <v>155</v>
      </c>
      <c r="B73" s="84">
        <v>2011004</v>
      </c>
      <c r="C73" s="89" t="s">
        <v>202</v>
      </c>
      <c r="D73" s="86"/>
      <c r="E73" s="86"/>
      <c r="F73" s="19"/>
      <c r="G73" s="87">
        <f t="shared" si="16"/>
        <v>0</v>
      </c>
      <c r="H73" s="88"/>
      <c r="I73" s="86">
        <f t="shared" si="17"/>
        <v>0</v>
      </c>
      <c r="J73" s="87">
        <f t="shared" si="18"/>
        <v>0</v>
      </c>
      <c r="K73" s="88"/>
      <c r="L73" s="88">
        <f t="shared" si="19"/>
        <v>0</v>
      </c>
      <c r="M73" s="87">
        <f t="shared" si="20"/>
        <v>0</v>
      </c>
      <c r="N73" s="100"/>
    </row>
    <row r="74" s="3" customFormat="1" spans="1:14">
      <c r="A74" s="83" t="s">
        <v>155</v>
      </c>
      <c r="B74" s="84">
        <v>2011099</v>
      </c>
      <c r="C74" s="90" t="s">
        <v>203</v>
      </c>
      <c r="D74" s="86"/>
      <c r="E74" s="86"/>
      <c r="F74" s="19"/>
      <c r="G74" s="87">
        <f t="shared" si="16"/>
        <v>0</v>
      </c>
      <c r="H74" s="88">
        <v>9</v>
      </c>
      <c r="I74" s="86">
        <f t="shared" si="17"/>
        <v>-9</v>
      </c>
      <c r="J74" s="87">
        <f t="shared" si="18"/>
        <v>-100</v>
      </c>
      <c r="K74" s="88"/>
      <c r="L74" s="88">
        <f t="shared" si="19"/>
        <v>0</v>
      </c>
      <c r="M74" s="87">
        <f t="shared" si="20"/>
        <v>0</v>
      </c>
      <c r="N74" s="100"/>
    </row>
    <row r="75" s="3" customFormat="1" spans="1:14">
      <c r="A75" s="83" t="s">
        <v>153</v>
      </c>
      <c r="B75" s="84">
        <v>20111</v>
      </c>
      <c r="C75" s="102" t="s">
        <v>204</v>
      </c>
      <c r="D75" s="86">
        <f t="shared" ref="D75:F75" si="21">SUM(D76:D79)</f>
        <v>328</v>
      </c>
      <c r="E75" s="86">
        <f t="shared" si="21"/>
        <v>380</v>
      </c>
      <c r="F75" s="19">
        <f t="shared" si="21"/>
        <v>379</v>
      </c>
      <c r="G75" s="87">
        <f t="shared" si="16"/>
        <v>99.7368421052632</v>
      </c>
      <c r="H75" s="88">
        <f>SUM(H76:H79)</f>
        <v>280</v>
      </c>
      <c r="I75" s="86">
        <f t="shared" si="17"/>
        <v>99</v>
      </c>
      <c r="J75" s="87">
        <f t="shared" si="18"/>
        <v>35.3571428571429</v>
      </c>
      <c r="K75" s="88">
        <f>SUM(K76:K79)</f>
        <v>0</v>
      </c>
      <c r="L75" s="88">
        <f t="shared" si="19"/>
        <v>-328</v>
      </c>
      <c r="M75" s="87">
        <f t="shared" si="20"/>
        <v>-100</v>
      </c>
      <c r="N75" s="100"/>
    </row>
    <row r="76" s="3" customFormat="1" spans="1:14">
      <c r="A76" s="83" t="s">
        <v>155</v>
      </c>
      <c r="B76" s="84">
        <v>2011101</v>
      </c>
      <c r="C76" s="89" t="s">
        <v>156</v>
      </c>
      <c r="D76" s="86">
        <v>234</v>
      </c>
      <c r="E76" s="86">
        <v>230</v>
      </c>
      <c r="F76" s="19">
        <v>229</v>
      </c>
      <c r="G76" s="87">
        <f t="shared" si="16"/>
        <v>99.5652173913043</v>
      </c>
      <c r="H76" s="88">
        <v>241</v>
      </c>
      <c r="I76" s="86">
        <f t="shared" si="17"/>
        <v>-12</v>
      </c>
      <c r="J76" s="87">
        <f t="shared" si="18"/>
        <v>-4.9792531120332</v>
      </c>
      <c r="K76" s="88"/>
      <c r="L76" s="88">
        <f t="shared" si="19"/>
        <v>-234</v>
      </c>
      <c r="M76" s="87">
        <f t="shared" si="20"/>
        <v>-100</v>
      </c>
      <c r="N76" s="100"/>
    </row>
    <row r="77" s="3" customFormat="1" hidden="1" spans="1:14">
      <c r="A77" s="83" t="s">
        <v>155</v>
      </c>
      <c r="B77" s="84">
        <v>2011102</v>
      </c>
      <c r="C77" s="89" t="s">
        <v>157</v>
      </c>
      <c r="D77" s="86"/>
      <c r="E77" s="86"/>
      <c r="F77" s="19"/>
      <c r="G77" s="87">
        <f t="shared" si="16"/>
        <v>0</v>
      </c>
      <c r="H77" s="88"/>
      <c r="I77" s="86">
        <f t="shared" si="17"/>
        <v>0</v>
      </c>
      <c r="J77" s="87">
        <f t="shared" si="18"/>
        <v>0</v>
      </c>
      <c r="K77" s="88"/>
      <c r="L77" s="88">
        <f t="shared" si="19"/>
        <v>0</v>
      </c>
      <c r="M77" s="87">
        <f t="shared" si="20"/>
        <v>0</v>
      </c>
      <c r="N77" s="100"/>
    </row>
    <row r="78" s="3" customFormat="1" hidden="1" spans="1:14">
      <c r="A78" s="83" t="s">
        <v>155</v>
      </c>
      <c r="B78" s="84">
        <v>2011105</v>
      </c>
      <c r="C78" s="90" t="s">
        <v>205</v>
      </c>
      <c r="D78" s="86"/>
      <c r="E78" s="86"/>
      <c r="F78" s="19"/>
      <c r="G78" s="87">
        <f t="shared" si="16"/>
        <v>0</v>
      </c>
      <c r="H78" s="88"/>
      <c r="I78" s="86">
        <f t="shared" si="17"/>
        <v>0</v>
      </c>
      <c r="J78" s="87">
        <f t="shared" si="18"/>
        <v>0</v>
      </c>
      <c r="K78" s="88"/>
      <c r="L78" s="88">
        <f t="shared" si="19"/>
        <v>0</v>
      </c>
      <c r="M78" s="87">
        <f t="shared" si="20"/>
        <v>0</v>
      </c>
      <c r="N78" s="100"/>
    </row>
    <row r="79" s="3" customFormat="1" spans="1:14">
      <c r="A79" s="83" t="s">
        <v>155</v>
      </c>
      <c r="B79" s="84">
        <v>2011199</v>
      </c>
      <c r="C79" s="89" t="s">
        <v>206</v>
      </c>
      <c r="D79" s="86">
        <f>90+4</f>
        <v>94</v>
      </c>
      <c r="E79" s="86">
        <v>150</v>
      </c>
      <c r="F79" s="19">
        <v>150</v>
      </c>
      <c r="G79" s="87">
        <f t="shared" si="16"/>
        <v>100</v>
      </c>
      <c r="H79" s="88">
        <v>39</v>
      </c>
      <c r="I79" s="86">
        <f t="shared" si="17"/>
        <v>111</v>
      </c>
      <c r="J79" s="87">
        <f t="shared" si="18"/>
        <v>284.615384615385</v>
      </c>
      <c r="K79" s="88"/>
      <c r="L79" s="88">
        <f t="shared" si="19"/>
        <v>-94</v>
      </c>
      <c r="M79" s="87">
        <f t="shared" si="20"/>
        <v>-100</v>
      </c>
      <c r="N79" s="100"/>
    </row>
    <row r="80" s="3" customFormat="1" spans="1:14">
      <c r="A80" s="83" t="s">
        <v>153</v>
      </c>
      <c r="B80" s="84">
        <v>20113</v>
      </c>
      <c r="C80" s="85" t="s">
        <v>207</v>
      </c>
      <c r="D80" s="86">
        <f t="shared" ref="D80:F80" si="22">SUM(D81:D85)</f>
        <v>133</v>
      </c>
      <c r="E80" s="86">
        <f t="shared" si="22"/>
        <v>110</v>
      </c>
      <c r="F80" s="92">
        <f t="shared" si="22"/>
        <v>104</v>
      </c>
      <c r="G80" s="87">
        <f t="shared" si="16"/>
        <v>94.5454545454545</v>
      </c>
      <c r="H80" s="88">
        <f>SUM(H81:H85)</f>
        <v>44</v>
      </c>
      <c r="I80" s="86">
        <f t="shared" si="17"/>
        <v>60</v>
      </c>
      <c r="J80" s="87">
        <f t="shared" si="18"/>
        <v>136.363636363636</v>
      </c>
      <c r="K80" s="88">
        <f>SUM(K81:K85)</f>
        <v>53</v>
      </c>
      <c r="L80" s="88">
        <f t="shared" si="19"/>
        <v>-80</v>
      </c>
      <c r="M80" s="87">
        <f t="shared" si="20"/>
        <v>-60.1503759398496</v>
      </c>
      <c r="N80" s="100"/>
    </row>
    <row r="81" s="3" customFormat="1" spans="1:14">
      <c r="A81" s="83" t="s">
        <v>155</v>
      </c>
      <c r="B81" s="84">
        <v>2011301</v>
      </c>
      <c r="C81" s="89" t="s">
        <v>156</v>
      </c>
      <c r="D81" s="86">
        <v>45</v>
      </c>
      <c r="E81" s="86">
        <v>45</v>
      </c>
      <c r="F81" s="19">
        <v>42</v>
      </c>
      <c r="G81" s="87">
        <f t="shared" si="16"/>
        <v>93.3333333333333</v>
      </c>
      <c r="H81" s="88">
        <v>42</v>
      </c>
      <c r="I81" s="86">
        <f t="shared" si="17"/>
        <v>0</v>
      </c>
      <c r="J81" s="87">
        <f t="shared" si="18"/>
        <v>0</v>
      </c>
      <c r="K81" s="88">
        <v>23</v>
      </c>
      <c r="L81" s="88">
        <f t="shared" si="19"/>
        <v>-22</v>
      </c>
      <c r="M81" s="87">
        <f t="shared" si="20"/>
        <v>-48.8888888888889</v>
      </c>
      <c r="N81" s="100"/>
    </row>
    <row r="82" s="3" customFormat="1" spans="1:14">
      <c r="A82" s="83" t="s">
        <v>155</v>
      </c>
      <c r="B82" s="84">
        <v>2011302</v>
      </c>
      <c r="C82" s="89" t="s">
        <v>157</v>
      </c>
      <c r="D82" s="86"/>
      <c r="E82" s="86"/>
      <c r="F82" s="19"/>
      <c r="G82" s="87">
        <f t="shared" si="16"/>
        <v>0</v>
      </c>
      <c r="H82" s="88"/>
      <c r="I82" s="86">
        <f t="shared" si="17"/>
        <v>0</v>
      </c>
      <c r="J82" s="87">
        <f t="shared" si="18"/>
        <v>0</v>
      </c>
      <c r="K82" s="88"/>
      <c r="L82" s="88">
        <f t="shared" si="19"/>
        <v>0</v>
      </c>
      <c r="M82" s="87">
        <f t="shared" si="20"/>
        <v>0</v>
      </c>
      <c r="N82" s="100"/>
    </row>
    <row r="83" s="3" customFormat="1" spans="1:14">
      <c r="A83" s="83" t="s">
        <v>155</v>
      </c>
      <c r="B83" s="84">
        <v>2011307</v>
      </c>
      <c r="C83" s="89" t="s">
        <v>208</v>
      </c>
      <c r="D83" s="86"/>
      <c r="E83" s="86"/>
      <c r="F83" s="19"/>
      <c r="G83" s="87">
        <f t="shared" si="16"/>
        <v>0</v>
      </c>
      <c r="H83" s="88"/>
      <c r="I83" s="86">
        <f t="shared" si="17"/>
        <v>0</v>
      </c>
      <c r="J83" s="87">
        <f t="shared" si="18"/>
        <v>0</v>
      </c>
      <c r="K83" s="88"/>
      <c r="L83" s="88">
        <f t="shared" si="19"/>
        <v>0</v>
      </c>
      <c r="M83" s="87">
        <f t="shared" si="20"/>
        <v>0</v>
      </c>
      <c r="N83" s="100"/>
    </row>
    <row r="84" s="3" customFormat="1" spans="1:14">
      <c r="A84" s="83" t="s">
        <v>155</v>
      </c>
      <c r="B84" s="84">
        <v>2011308</v>
      </c>
      <c r="C84" s="89" t="s">
        <v>209</v>
      </c>
      <c r="D84" s="86">
        <f>50+38</f>
        <v>88</v>
      </c>
      <c r="E84" s="86">
        <v>25</v>
      </c>
      <c r="F84" s="19">
        <v>25</v>
      </c>
      <c r="G84" s="87">
        <f t="shared" si="16"/>
        <v>100</v>
      </c>
      <c r="H84" s="88"/>
      <c r="I84" s="86">
        <f t="shared" si="17"/>
        <v>25</v>
      </c>
      <c r="J84" s="87">
        <f t="shared" si="18"/>
        <v>0</v>
      </c>
      <c r="K84" s="88">
        <v>30</v>
      </c>
      <c r="L84" s="88">
        <f t="shared" si="19"/>
        <v>-58</v>
      </c>
      <c r="M84" s="87">
        <f t="shared" si="20"/>
        <v>-65.9090909090909</v>
      </c>
      <c r="N84" s="100"/>
    </row>
    <row r="85" s="3" customFormat="1" spans="1:14">
      <c r="A85" s="83" t="s">
        <v>155</v>
      </c>
      <c r="B85" s="84">
        <v>2011399</v>
      </c>
      <c r="C85" s="89" t="s">
        <v>210</v>
      </c>
      <c r="D85" s="86"/>
      <c r="E85" s="86">
        <v>40</v>
      </c>
      <c r="F85" s="19">
        <v>37</v>
      </c>
      <c r="G85" s="87">
        <f t="shared" si="16"/>
        <v>92.5</v>
      </c>
      <c r="H85" s="88">
        <v>2</v>
      </c>
      <c r="I85" s="86">
        <f t="shared" si="17"/>
        <v>35</v>
      </c>
      <c r="J85" s="87">
        <f t="shared" si="18"/>
        <v>1750</v>
      </c>
      <c r="K85" s="88"/>
      <c r="L85" s="88">
        <f t="shared" si="19"/>
        <v>0</v>
      </c>
      <c r="M85" s="87">
        <f t="shared" si="20"/>
        <v>0</v>
      </c>
      <c r="N85" s="100"/>
    </row>
    <row r="86" s="3" customFormat="1" spans="1:14">
      <c r="A86" s="83" t="s">
        <v>153</v>
      </c>
      <c r="B86" s="84">
        <v>20114</v>
      </c>
      <c r="C86" s="90" t="s">
        <v>211</v>
      </c>
      <c r="D86" s="86">
        <f t="shared" ref="D86:F86" si="23">SUM(D87:D88)</f>
        <v>0</v>
      </c>
      <c r="E86" s="86">
        <f t="shared" si="23"/>
        <v>0</v>
      </c>
      <c r="F86" s="19">
        <f t="shared" si="23"/>
        <v>0</v>
      </c>
      <c r="G86" s="87">
        <f t="shared" si="16"/>
        <v>0</v>
      </c>
      <c r="H86" s="88">
        <f>SUM(H87:H88)</f>
        <v>0</v>
      </c>
      <c r="I86" s="86">
        <f t="shared" si="17"/>
        <v>0</v>
      </c>
      <c r="J86" s="87">
        <f t="shared" si="18"/>
        <v>0</v>
      </c>
      <c r="K86" s="88">
        <f>SUM(K87:K88)</f>
        <v>0</v>
      </c>
      <c r="L86" s="88">
        <f t="shared" si="19"/>
        <v>0</v>
      </c>
      <c r="M86" s="87">
        <f t="shared" si="20"/>
        <v>0</v>
      </c>
      <c r="N86" s="100"/>
    </row>
    <row r="87" s="3" customFormat="1" spans="1:14">
      <c r="A87" s="83" t="s">
        <v>155</v>
      </c>
      <c r="B87" s="84">
        <v>2011401</v>
      </c>
      <c r="C87" s="90" t="s">
        <v>156</v>
      </c>
      <c r="D87" s="86"/>
      <c r="E87" s="86"/>
      <c r="F87" s="19"/>
      <c r="G87" s="87">
        <f t="shared" si="16"/>
        <v>0</v>
      </c>
      <c r="H87" s="88"/>
      <c r="I87" s="86">
        <f t="shared" si="17"/>
        <v>0</v>
      </c>
      <c r="J87" s="87">
        <f t="shared" si="18"/>
        <v>0</v>
      </c>
      <c r="K87" s="88"/>
      <c r="L87" s="88">
        <f t="shared" si="19"/>
        <v>0</v>
      </c>
      <c r="M87" s="87">
        <f t="shared" si="20"/>
        <v>0</v>
      </c>
      <c r="N87" s="100"/>
    </row>
    <row r="88" s="3" customFormat="1" spans="1:14">
      <c r="A88" s="83" t="s">
        <v>155</v>
      </c>
      <c r="B88" s="84">
        <v>2011402</v>
      </c>
      <c r="C88" s="85" t="s">
        <v>157</v>
      </c>
      <c r="D88" s="86"/>
      <c r="E88" s="86"/>
      <c r="F88" s="19"/>
      <c r="G88" s="87">
        <f t="shared" si="16"/>
        <v>0</v>
      </c>
      <c r="H88" s="88"/>
      <c r="I88" s="86">
        <f t="shared" si="17"/>
        <v>0</v>
      </c>
      <c r="J88" s="87">
        <f t="shared" si="18"/>
        <v>0</v>
      </c>
      <c r="K88" s="88"/>
      <c r="L88" s="88">
        <f t="shared" si="19"/>
        <v>0</v>
      </c>
      <c r="M88" s="87">
        <f t="shared" si="20"/>
        <v>0</v>
      </c>
      <c r="N88" s="100"/>
    </row>
    <row r="89" s="3" customFormat="1" spans="1:14">
      <c r="A89" s="83" t="s">
        <v>153</v>
      </c>
      <c r="B89" s="84">
        <v>20123</v>
      </c>
      <c r="C89" s="89" t="s">
        <v>212</v>
      </c>
      <c r="D89" s="86">
        <f t="shared" ref="D89:F89" si="24">SUM(D90:D92)</f>
        <v>13</v>
      </c>
      <c r="E89" s="86">
        <f t="shared" si="24"/>
        <v>13</v>
      </c>
      <c r="F89" s="19">
        <f t="shared" si="24"/>
        <v>13</v>
      </c>
      <c r="G89" s="87">
        <f t="shared" si="16"/>
        <v>100</v>
      </c>
      <c r="H89" s="88">
        <f>SUM(H90:H92)</f>
        <v>8</v>
      </c>
      <c r="I89" s="86">
        <f t="shared" si="17"/>
        <v>5</v>
      </c>
      <c r="J89" s="87">
        <f t="shared" si="18"/>
        <v>62.5</v>
      </c>
      <c r="K89" s="88">
        <f>SUM(K90:K92)</f>
        <v>0</v>
      </c>
      <c r="L89" s="88">
        <f t="shared" si="19"/>
        <v>-13</v>
      </c>
      <c r="M89" s="87">
        <f t="shared" si="20"/>
        <v>-100</v>
      </c>
      <c r="N89" s="100"/>
    </row>
    <row r="90" s="3" customFormat="1" spans="1:14">
      <c r="A90" s="83" t="s">
        <v>155</v>
      </c>
      <c r="B90" s="84">
        <v>2012301</v>
      </c>
      <c r="C90" s="89" t="s">
        <v>156</v>
      </c>
      <c r="D90" s="86"/>
      <c r="E90" s="86"/>
      <c r="F90" s="19"/>
      <c r="G90" s="87">
        <f t="shared" si="16"/>
        <v>0</v>
      </c>
      <c r="H90" s="88"/>
      <c r="I90" s="86">
        <f t="shared" si="17"/>
        <v>0</v>
      </c>
      <c r="J90" s="87">
        <f t="shared" si="18"/>
        <v>0</v>
      </c>
      <c r="K90" s="88"/>
      <c r="L90" s="88">
        <f t="shared" si="19"/>
        <v>0</v>
      </c>
      <c r="M90" s="87">
        <f t="shared" si="20"/>
        <v>0</v>
      </c>
      <c r="N90" s="100"/>
    </row>
    <row r="91" s="3" customFormat="1" spans="1:14">
      <c r="A91" s="83" t="s">
        <v>155</v>
      </c>
      <c r="B91" s="84">
        <v>2012302</v>
      </c>
      <c r="C91" s="89" t="s">
        <v>157</v>
      </c>
      <c r="D91" s="86"/>
      <c r="E91" s="86"/>
      <c r="F91" s="19"/>
      <c r="G91" s="87">
        <f t="shared" si="16"/>
        <v>0</v>
      </c>
      <c r="H91" s="88"/>
      <c r="I91" s="86">
        <f t="shared" si="17"/>
        <v>0</v>
      </c>
      <c r="J91" s="87">
        <f t="shared" si="18"/>
        <v>0</v>
      </c>
      <c r="K91" s="88"/>
      <c r="L91" s="88">
        <f t="shared" si="19"/>
        <v>0</v>
      </c>
      <c r="M91" s="87">
        <f t="shared" si="20"/>
        <v>0</v>
      </c>
      <c r="N91" s="100"/>
    </row>
    <row r="92" s="3" customFormat="1" spans="1:14">
      <c r="A92" s="83" t="s">
        <v>155</v>
      </c>
      <c r="B92" s="84">
        <v>2012399</v>
      </c>
      <c r="C92" s="85" t="s">
        <v>213</v>
      </c>
      <c r="D92" s="86">
        <v>13</v>
      </c>
      <c r="E92" s="86">
        <v>13</v>
      </c>
      <c r="F92" s="19">
        <v>13</v>
      </c>
      <c r="G92" s="87">
        <f t="shared" si="16"/>
        <v>100</v>
      </c>
      <c r="H92" s="88">
        <v>8</v>
      </c>
      <c r="I92" s="86">
        <f t="shared" si="17"/>
        <v>5</v>
      </c>
      <c r="J92" s="87">
        <f t="shared" si="18"/>
        <v>62.5</v>
      </c>
      <c r="K92" s="88"/>
      <c r="L92" s="88">
        <f t="shared" si="19"/>
        <v>-13</v>
      </c>
      <c r="M92" s="87">
        <f t="shared" si="20"/>
        <v>-100</v>
      </c>
      <c r="N92" s="100"/>
    </row>
    <row r="93" s="3" customFormat="1" spans="1:14">
      <c r="A93" s="83" t="s">
        <v>153</v>
      </c>
      <c r="B93" s="84">
        <v>20125</v>
      </c>
      <c r="C93" s="89" t="s">
        <v>214</v>
      </c>
      <c r="D93" s="86">
        <f t="shared" ref="D93:F93" si="25">SUM(D94:D94)</f>
        <v>0</v>
      </c>
      <c r="E93" s="86">
        <f t="shared" si="25"/>
        <v>0</v>
      </c>
      <c r="F93" s="19">
        <f t="shared" si="25"/>
        <v>0</v>
      </c>
      <c r="G93" s="87">
        <f t="shared" si="16"/>
        <v>0</v>
      </c>
      <c r="H93" s="88">
        <f>SUM(H94:H94)</f>
        <v>0</v>
      </c>
      <c r="I93" s="86">
        <f t="shared" si="17"/>
        <v>0</v>
      </c>
      <c r="J93" s="87">
        <f t="shared" si="18"/>
        <v>0</v>
      </c>
      <c r="K93" s="88">
        <f>SUM(K94:K94)</f>
        <v>0</v>
      </c>
      <c r="L93" s="88">
        <f t="shared" si="19"/>
        <v>0</v>
      </c>
      <c r="M93" s="87">
        <f t="shared" si="20"/>
        <v>0</v>
      </c>
      <c r="N93" s="100"/>
    </row>
    <row r="94" s="3" customFormat="1" spans="1:14">
      <c r="A94" s="83" t="s">
        <v>155</v>
      </c>
      <c r="B94" s="84">
        <v>2012599</v>
      </c>
      <c r="C94" s="89" t="s">
        <v>215</v>
      </c>
      <c r="D94" s="86"/>
      <c r="E94" s="86"/>
      <c r="F94" s="19"/>
      <c r="G94" s="87">
        <f t="shared" si="16"/>
        <v>0</v>
      </c>
      <c r="H94" s="88"/>
      <c r="I94" s="86">
        <f t="shared" si="17"/>
        <v>0</v>
      </c>
      <c r="J94" s="87">
        <f t="shared" si="18"/>
        <v>0</v>
      </c>
      <c r="K94" s="88"/>
      <c r="L94" s="88">
        <f t="shared" si="19"/>
        <v>0</v>
      </c>
      <c r="M94" s="87">
        <f t="shared" si="20"/>
        <v>0</v>
      </c>
      <c r="N94" s="100"/>
    </row>
    <row r="95" s="3" customFormat="1" spans="1:14">
      <c r="A95" s="83" t="s">
        <v>153</v>
      </c>
      <c r="B95" s="84">
        <v>20126</v>
      </c>
      <c r="C95" s="90" t="s">
        <v>216</v>
      </c>
      <c r="D95" s="86">
        <f t="shared" ref="D95:F95" si="26">SUM(D96:D97)</f>
        <v>32</v>
      </c>
      <c r="E95" s="86">
        <f t="shared" si="26"/>
        <v>46</v>
      </c>
      <c r="F95" s="92">
        <f t="shared" si="26"/>
        <v>46</v>
      </c>
      <c r="G95" s="87">
        <f t="shared" si="16"/>
        <v>100</v>
      </c>
      <c r="H95" s="86">
        <f>SUM(H96:H97)</f>
        <v>9</v>
      </c>
      <c r="I95" s="86">
        <f t="shared" si="17"/>
        <v>37</v>
      </c>
      <c r="J95" s="87">
        <f t="shared" si="18"/>
        <v>411.111111111111</v>
      </c>
      <c r="K95" s="86">
        <f>SUM(K96:K97)</f>
        <v>32</v>
      </c>
      <c r="L95" s="88">
        <f t="shared" si="19"/>
        <v>0</v>
      </c>
      <c r="M95" s="87">
        <f t="shared" si="20"/>
        <v>0</v>
      </c>
      <c r="N95" s="100"/>
    </row>
    <row r="96" s="3" customFormat="1" spans="1:14">
      <c r="A96" s="83" t="s">
        <v>155</v>
      </c>
      <c r="B96" s="84">
        <v>2012601</v>
      </c>
      <c r="C96" s="90" t="s">
        <v>156</v>
      </c>
      <c r="D96" s="86">
        <v>32</v>
      </c>
      <c r="E96" s="86">
        <v>46</v>
      </c>
      <c r="F96" s="19">
        <v>46</v>
      </c>
      <c r="G96" s="87">
        <f t="shared" si="16"/>
        <v>100</v>
      </c>
      <c r="H96" s="88"/>
      <c r="I96" s="86">
        <f t="shared" si="17"/>
        <v>46</v>
      </c>
      <c r="J96" s="87">
        <f t="shared" si="18"/>
        <v>0</v>
      </c>
      <c r="K96" s="88">
        <v>32</v>
      </c>
      <c r="L96" s="88">
        <f t="shared" si="19"/>
        <v>0</v>
      </c>
      <c r="M96" s="87">
        <f t="shared" si="20"/>
        <v>0</v>
      </c>
      <c r="N96" s="100"/>
    </row>
    <row r="97" s="3" customFormat="1" spans="1:14">
      <c r="A97" s="83" t="s">
        <v>155</v>
      </c>
      <c r="B97" s="84">
        <v>2012699</v>
      </c>
      <c r="C97" s="90" t="s">
        <v>217</v>
      </c>
      <c r="D97" s="86"/>
      <c r="E97" s="86"/>
      <c r="F97" s="19"/>
      <c r="G97" s="87">
        <f t="shared" si="16"/>
        <v>0</v>
      </c>
      <c r="H97" s="88">
        <v>9</v>
      </c>
      <c r="I97" s="86">
        <f t="shared" si="17"/>
        <v>-9</v>
      </c>
      <c r="J97" s="87">
        <f t="shared" si="18"/>
        <v>-100</v>
      </c>
      <c r="K97" s="88"/>
      <c r="L97" s="88">
        <f t="shared" si="19"/>
        <v>0</v>
      </c>
      <c r="M97" s="87">
        <f t="shared" si="20"/>
        <v>0</v>
      </c>
      <c r="N97" s="100"/>
    </row>
    <row r="98" s="3" customFormat="1" spans="1:14">
      <c r="A98" s="83" t="s">
        <v>153</v>
      </c>
      <c r="B98" s="84">
        <v>20128</v>
      </c>
      <c r="C98" s="90" t="s">
        <v>218</v>
      </c>
      <c r="D98" s="86">
        <f t="shared" ref="D98:F98" si="27">SUM(D99:D102)</f>
        <v>0</v>
      </c>
      <c r="E98" s="86">
        <f t="shared" si="27"/>
        <v>0</v>
      </c>
      <c r="F98" s="19">
        <f t="shared" si="27"/>
        <v>0</v>
      </c>
      <c r="G98" s="87">
        <f t="shared" si="16"/>
        <v>0</v>
      </c>
      <c r="H98" s="88">
        <f>SUM(H99:H102)</f>
        <v>0</v>
      </c>
      <c r="I98" s="86">
        <f t="shared" si="17"/>
        <v>0</v>
      </c>
      <c r="J98" s="87">
        <f t="shared" si="18"/>
        <v>0</v>
      </c>
      <c r="K98" s="88">
        <f>SUM(K99:K102)</f>
        <v>0</v>
      </c>
      <c r="L98" s="88">
        <f t="shared" si="19"/>
        <v>0</v>
      </c>
      <c r="M98" s="87">
        <f t="shared" si="20"/>
        <v>0</v>
      </c>
      <c r="N98" s="100"/>
    </row>
    <row r="99" s="3" customFormat="1" spans="1:14">
      <c r="A99" s="83" t="s">
        <v>155</v>
      </c>
      <c r="B99" s="84">
        <v>2012802</v>
      </c>
      <c r="C99" s="90" t="s">
        <v>157</v>
      </c>
      <c r="D99" s="86"/>
      <c r="E99" s="86"/>
      <c r="F99" s="19"/>
      <c r="G99" s="87">
        <f t="shared" si="16"/>
        <v>0</v>
      </c>
      <c r="H99" s="88"/>
      <c r="I99" s="86">
        <f t="shared" si="17"/>
        <v>0</v>
      </c>
      <c r="J99" s="87">
        <f t="shared" si="18"/>
        <v>0</v>
      </c>
      <c r="K99" s="88"/>
      <c r="L99" s="88">
        <f t="shared" si="19"/>
        <v>0</v>
      </c>
      <c r="M99" s="87">
        <f t="shared" si="20"/>
        <v>0</v>
      </c>
      <c r="N99" s="100"/>
    </row>
    <row r="100" s="3" customFormat="1" spans="1:14">
      <c r="A100" s="83" t="s">
        <v>155</v>
      </c>
      <c r="B100" s="84">
        <v>2012803</v>
      </c>
      <c r="C100" s="85" t="s">
        <v>158</v>
      </c>
      <c r="D100" s="86"/>
      <c r="E100" s="86"/>
      <c r="F100" s="19"/>
      <c r="G100" s="87">
        <f t="shared" si="16"/>
        <v>0</v>
      </c>
      <c r="H100" s="88"/>
      <c r="I100" s="86">
        <f t="shared" si="17"/>
        <v>0</v>
      </c>
      <c r="J100" s="87">
        <f t="shared" si="18"/>
        <v>0</v>
      </c>
      <c r="K100" s="88"/>
      <c r="L100" s="88">
        <f t="shared" si="19"/>
        <v>0</v>
      </c>
      <c r="M100" s="87">
        <f t="shared" si="20"/>
        <v>0</v>
      </c>
      <c r="N100" s="100"/>
    </row>
    <row r="101" s="3" customFormat="1" spans="1:14">
      <c r="A101" s="83" t="s">
        <v>155</v>
      </c>
      <c r="B101" s="84">
        <v>2012804</v>
      </c>
      <c r="C101" s="89" t="s">
        <v>167</v>
      </c>
      <c r="D101" s="103"/>
      <c r="E101" s="103"/>
      <c r="F101" s="104"/>
      <c r="G101" s="87">
        <f t="shared" si="16"/>
        <v>0</v>
      </c>
      <c r="H101" s="105"/>
      <c r="I101" s="86">
        <f t="shared" si="17"/>
        <v>0</v>
      </c>
      <c r="J101" s="87">
        <f t="shared" si="18"/>
        <v>0</v>
      </c>
      <c r="K101" s="105"/>
      <c r="L101" s="88">
        <f t="shared" si="19"/>
        <v>0</v>
      </c>
      <c r="M101" s="87">
        <f t="shared" si="20"/>
        <v>0</v>
      </c>
      <c r="N101" s="15"/>
    </row>
    <row r="102" s="3" customFormat="1" spans="1:14">
      <c r="A102" s="83" t="s">
        <v>155</v>
      </c>
      <c r="B102" s="84">
        <v>2012899</v>
      </c>
      <c r="C102" s="89" t="s">
        <v>219</v>
      </c>
      <c r="D102" s="86"/>
      <c r="E102" s="86"/>
      <c r="F102" s="19"/>
      <c r="G102" s="87">
        <f t="shared" si="16"/>
        <v>0</v>
      </c>
      <c r="H102" s="88"/>
      <c r="I102" s="86">
        <f t="shared" si="17"/>
        <v>0</v>
      </c>
      <c r="J102" s="87">
        <f t="shared" si="18"/>
        <v>0</v>
      </c>
      <c r="K102" s="88"/>
      <c r="L102" s="88">
        <f t="shared" si="19"/>
        <v>0</v>
      </c>
      <c r="M102" s="87">
        <f t="shared" si="20"/>
        <v>0</v>
      </c>
      <c r="N102" s="100"/>
    </row>
    <row r="103" s="3" customFormat="1" spans="1:14">
      <c r="A103" s="83" t="s">
        <v>153</v>
      </c>
      <c r="B103" s="84">
        <v>20129</v>
      </c>
      <c r="C103" s="90" t="s">
        <v>220</v>
      </c>
      <c r="D103" s="86">
        <f t="shared" ref="D103:F103" si="28">SUM(D104:D107)</f>
        <v>211</v>
      </c>
      <c r="E103" s="86">
        <f t="shared" si="28"/>
        <v>325</v>
      </c>
      <c r="F103" s="19">
        <f t="shared" si="28"/>
        <v>319</v>
      </c>
      <c r="G103" s="87">
        <f t="shared" si="16"/>
        <v>98.1538461538462</v>
      </c>
      <c r="H103" s="88">
        <f>SUM(H104:H107)</f>
        <v>348</v>
      </c>
      <c r="I103" s="86">
        <f t="shared" si="17"/>
        <v>-29</v>
      </c>
      <c r="J103" s="87">
        <f t="shared" si="18"/>
        <v>-8.33333333333333</v>
      </c>
      <c r="K103" s="88">
        <f>SUM(K104:K107)</f>
        <v>276</v>
      </c>
      <c r="L103" s="88">
        <f t="shared" si="19"/>
        <v>65</v>
      </c>
      <c r="M103" s="87">
        <f t="shared" si="20"/>
        <v>30.8056872037915</v>
      </c>
      <c r="N103" s="100"/>
    </row>
    <row r="104" s="3" customFormat="1" spans="1:14">
      <c r="A104" s="83" t="s">
        <v>155</v>
      </c>
      <c r="B104" s="84">
        <v>2012901</v>
      </c>
      <c r="C104" s="90" t="s">
        <v>156</v>
      </c>
      <c r="D104" s="86">
        <v>100</v>
      </c>
      <c r="E104" s="86">
        <v>300</v>
      </c>
      <c r="F104" s="19">
        <v>294</v>
      </c>
      <c r="G104" s="87">
        <f t="shared" si="16"/>
        <v>98</v>
      </c>
      <c r="H104" s="88">
        <v>291</v>
      </c>
      <c r="I104" s="86">
        <f t="shared" si="17"/>
        <v>3</v>
      </c>
      <c r="J104" s="87">
        <f t="shared" si="18"/>
        <v>1.03092783505155</v>
      </c>
      <c r="K104" s="88">
        <v>275</v>
      </c>
      <c r="L104" s="88">
        <f t="shared" si="19"/>
        <v>175</v>
      </c>
      <c r="M104" s="87">
        <f t="shared" si="20"/>
        <v>175</v>
      </c>
      <c r="N104" s="100"/>
    </row>
    <row r="105" s="3" customFormat="1" spans="1:14">
      <c r="A105" s="83" t="s">
        <v>155</v>
      </c>
      <c r="B105" s="84">
        <v>2012902</v>
      </c>
      <c r="C105" s="90" t="s">
        <v>157</v>
      </c>
      <c r="D105" s="86"/>
      <c r="E105" s="86"/>
      <c r="F105" s="19"/>
      <c r="G105" s="87">
        <f t="shared" si="16"/>
        <v>0</v>
      </c>
      <c r="H105" s="88">
        <v>24</v>
      </c>
      <c r="I105" s="86">
        <f t="shared" si="17"/>
        <v>-24</v>
      </c>
      <c r="J105" s="87">
        <f t="shared" si="18"/>
        <v>-100</v>
      </c>
      <c r="K105" s="88"/>
      <c r="L105" s="88">
        <f t="shared" si="19"/>
        <v>0</v>
      </c>
      <c r="M105" s="87">
        <f t="shared" si="20"/>
        <v>0</v>
      </c>
      <c r="N105" s="100"/>
    </row>
    <row r="106" s="3" customFormat="1" spans="1:14">
      <c r="A106" s="83" t="s">
        <v>155</v>
      </c>
      <c r="B106" s="84">
        <v>2012906</v>
      </c>
      <c r="C106" s="89" t="s">
        <v>221</v>
      </c>
      <c r="D106" s="86">
        <v>105</v>
      </c>
      <c r="E106" s="86">
        <v>0</v>
      </c>
      <c r="F106" s="19"/>
      <c r="G106" s="87">
        <f t="shared" si="16"/>
        <v>0</v>
      </c>
      <c r="H106" s="88"/>
      <c r="I106" s="86">
        <f t="shared" si="17"/>
        <v>0</v>
      </c>
      <c r="J106" s="87">
        <f t="shared" si="18"/>
        <v>0</v>
      </c>
      <c r="K106" s="88"/>
      <c r="L106" s="88">
        <f t="shared" si="19"/>
        <v>-105</v>
      </c>
      <c r="M106" s="87">
        <f t="shared" si="20"/>
        <v>-100</v>
      </c>
      <c r="N106" s="100"/>
    </row>
    <row r="107" s="3" customFormat="1" spans="1:14">
      <c r="A107" s="83" t="s">
        <v>155</v>
      </c>
      <c r="B107" s="84">
        <v>2012999</v>
      </c>
      <c r="C107" s="90" t="s">
        <v>222</v>
      </c>
      <c r="D107" s="86">
        <f>5+1</f>
        <v>6</v>
      </c>
      <c r="E107" s="86">
        <v>25</v>
      </c>
      <c r="F107" s="19">
        <v>25</v>
      </c>
      <c r="G107" s="87">
        <f t="shared" si="16"/>
        <v>100</v>
      </c>
      <c r="H107" s="88">
        <v>33</v>
      </c>
      <c r="I107" s="86">
        <f t="shared" si="17"/>
        <v>-8</v>
      </c>
      <c r="J107" s="87">
        <f t="shared" si="18"/>
        <v>-24.2424242424242</v>
      </c>
      <c r="K107" s="88">
        <v>1</v>
      </c>
      <c r="L107" s="88">
        <f t="shared" si="19"/>
        <v>-5</v>
      </c>
      <c r="M107" s="87">
        <f t="shared" si="20"/>
        <v>-83.3333333333333</v>
      </c>
      <c r="N107" s="100"/>
    </row>
    <row r="108" s="3" customFormat="1" spans="1:14">
      <c r="A108" s="83" t="s">
        <v>153</v>
      </c>
      <c r="B108" s="84">
        <v>20131</v>
      </c>
      <c r="C108" s="90" t="s">
        <v>223</v>
      </c>
      <c r="D108" s="86">
        <f t="shared" ref="D108:F108" si="29">SUM(D109:D112)</f>
        <v>323</v>
      </c>
      <c r="E108" s="86">
        <f t="shared" si="29"/>
        <v>491</v>
      </c>
      <c r="F108" s="19">
        <f t="shared" si="29"/>
        <v>481</v>
      </c>
      <c r="G108" s="87">
        <f t="shared" si="16"/>
        <v>97.9633401221996</v>
      </c>
      <c r="H108" s="88">
        <f>SUM(H109:H112)</f>
        <v>857</v>
      </c>
      <c r="I108" s="86">
        <f t="shared" si="17"/>
        <v>-376</v>
      </c>
      <c r="J108" s="87">
        <f t="shared" si="18"/>
        <v>-43.8739789964994</v>
      </c>
      <c r="K108" s="88">
        <f>SUM(K109:K112)</f>
        <v>106</v>
      </c>
      <c r="L108" s="88">
        <f t="shared" si="19"/>
        <v>-217</v>
      </c>
      <c r="M108" s="87">
        <f t="shared" si="20"/>
        <v>-67.1826625386997</v>
      </c>
      <c r="N108" s="100"/>
    </row>
    <row r="109" s="3" customFormat="1" spans="1:14">
      <c r="A109" s="83" t="s">
        <v>155</v>
      </c>
      <c r="B109" s="84">
        <v>2013101</v>
      </c>
      <c r="C109" s="90" t="s">
        <v>156</v>
      </c>
      <c r="D109" s="86">
        <v>295</v>
      </c>
      <c r="E109" s="86">
        <v>300</v>
      </c>
      <c r="F109" s="19">
        <v>291</v>
      </c>
      <c r="G109" s="87">
        <f t="shared" si="16"/>
        <v>97</v>
      </c>
      <c r="H109" s="88">
        <v>821</v>
      </c>
      <c r="I109" s="86">
        <f t="shared" si="17"/>
        <v>-530</v>
      </c>
      <c r="J109" s="87">
        <f t="shared" si="18"/>
        <v>-64.5554202192448</v>
      </c>
      <c r="K109" s="88">
        <v>101</v>
      </c>
      <c r="L109" s="88">
        <f t="shared" si="19"/>
        <v>-194</v>
      </c>
      <c r="M109" s="87">
        <f t="shared" si="20"/>
        <v>-65.7627118644068</v>
      </c>
      <c r="N109" s="100"/>
    </row>
    <row r="110" s="3" customFormat="1" spans="1:14">
      <c r="A110" s="83" t="s">
        <v>155</v>
      </c>
      <c r="B110" s="84">
        <v>2013102</v>
      </c>
      <c r="C110" s="89" t="s">
        <v>157</v>
      </c>
      <c r="D110" s="86">
        <v>28</v>
      </c>
      <c r="E110" s="86">
        <v>7</v>
      </c>
      <c r="F110" s="19">
        <v>7</v>
      </c>
      <c r="G110" s="87">
        <f t="shared" si="16"/>
        <v>100</v>
      </c>
      <c r="H110" s="88">
        <v>36</v>
      </c>
      <c r="I110" s="86">
        <f t="shared" si="17"/>
        <v>-29</v>
      </c>
      <c r="J110" s="87">
        <f t="shared" si="18"/>
        <v>-80.5555555555556</v>
      </c>
      <c r="K110" s="88"/>
      <c r="L110" s="88">
        <f t="shared" si="19"/>
        <v>-28</v>
      </c>
      <c r="M110" s="87">
        <f t="shared" si="20"/>
        <v>-100</v>
      </c>
      <c r="N110" s="100"/>
    </row>
    <row r="111" s="3" customFormat="1" spans="1:14">
      <c r="A111" s="83" t="s">
        <v>155</v>
      </c>
      <c r="B111" s="84">
        <v>2013105</v>
      </c>
      <c r="C111" s="89" t="s">
        <v>224</v>
      </c>
      <c r="D111" s="86"/>
      <c r="E111" s="86">
        <v>124</v>
      </c>
      <c r="F111" s="19">
        <v>124</v>
      </c>
      <c r="G111" s="87">
        <f t="shared" si="16"/>
        <v>100</v>
      </c>
      <c r="H111" s="88"/>
      <c r="I111" s="86">
        <f t="shared" si="17"/>
        <v>124</v>
      </c>
      <c r="J111" s="87">
        <f t="shared" si="18"/>
        <v>0</v>
      </c>
      <c r="K111" s="88">
        <v>5</v>
      </c>
      <c r="L111" s="88">
        <f t="shared" si="19"/>
        <v>5</v>
      </c>
      <c r="M111" s="87">
        <f t="shared" si="20"/>
        <v>0</v>
      </c>
      <c r="N111" s="100"/>
    </row>
    <row r="112" s="3" customFormat="1" spans="1:14">
      <c r="A112" s="83" t="s">
        <v>155</v>
      </c>
      <c r="B112" s="84">
        <v>2013199</v>
      </c>
      <c r="C112" s="90" t="s">
        <v>225</v>
      </c>
      <c r="D112" s="86"/>
      <c r="E112" s="86">
        <v>60</v>
      </c>
      <c r="F112" s="19">
        <v>59</v>
      </c>
      <c r="G112" s="87">
        <f t="shared" si="16"/>
        <v>98.3333333333333</v>
      </c>
      <c r="H112" s="88"/>
      <c r="I112" s="86">
        <f t="shared" si="17"/>
        <v>59</v>
      </c>
      <c r="J112" s="87">
        <f t="shared" si="18"/>
        <v>0</v>
      </c>
      <c r="K112" s="88"/>
      <c r="L112" s="88">
        <f t="shared" si="19"/>
        <v>0</v>
      </c>
      <c r="M112" s="87">
        <f t="shared" si="20"/>
        <v>0</v>
      </c>
      <c r="N112" s="100"/>
    </row>
    <row r="113" s="3" customFormat="1" spans="1:14">
      <c r="A113" s="83" t="s">
        <v>153</v>
      </c>
      <c r="B113" s="84">
        <v>20132</v>
      </c>
      <c r="C113" s="90" t="s">
        <v>226</v>
      </c>
      <c r="D113" s="86">
        <f t="shared" ref="D113:F113" si="30">SUM(D114:D118)</f>
        <v>476</v>
      </c>
      <c r="E113" s="86">
        <f t="shared" si="30"/>
        <v>553</v>
      </c>
      <c r="F113" s="19">
        <f t="shared" si="30"/>
        <v>564</v>
      </c>
      <c r="G113" s="87">
        <f t="shared" si="16"/>
        <v>101.989150090416</v>
      </c>
      <c r="H113" s="88">
        <f>SUM(H114:H118)</f>
        <v>431</v>
      </c>
      <c r="I113" s="86">
        <f t="shared" si="17"/>
        <v>133</v>
      </c>
      <c r="J113" s="87">
        <f t="shared" si="18"/>
        <v>30.8584686774942</v>
      </c>
      <c r="K113" s="88">
        <f>SUM(K114:K118)</f>
        <v>225</v>
      </c>
      <c r="L113" s="88">
        <f t="shared" si="19"/>
        <v>-251</v>
      </c>
      <c r="M113" s="87">
        <f t="shared" si="20"/>
        <v>-52.7310924369748</v>
      </c>
      <c r="N113" s="100"/>
    </row>
    <row r="114" s="3" customFormat="1" spans="1:14">
      <c r="A114" s="83" t="s">
        <v>155</v>
      </c>
      <c r="B114" s="84">
        <v>2013201</v>
      </c>
      <c r="C114" s="89" t="s">
        <v>156</v>
      </c>
      <c r="D114" s="86">
        <v>213</v>
      </c>
      <c r="E114" s="86">
        <v>150</v>
      </c>
      <c r="F114" s="19">
        <v>146</v>
      </c>
      <c r="G114" s="87">
        <f t="shared" si="16"/>
        <v>97.3333333333333</v>
      </c>
      <c r="H114" s="88">
        <v>174</v>
      </c>
      <c r="I114" s="86">
        <f t="shared" si="17"/>
        <v>-28</v>
      </c>
      <c r="J114" s="87">
        <f t="shared" si="18"/>
        <v>-16.0919540229885</v>
      </c>
      <c r="K114" s="88">
        <v>183</v>
      </c>
      <c r="L114" s="88">
        <f t="shared" si="19"/>
        <v>-30</v>
      </c>
      <c r="M114" s="87">
        <f t="shared" si="20"/>
        <v>-14.0845070422535</v>
      </c>
      <c r="N114" s="100"/>
    </row>
    <row r="115" s="3" customFormat="1" spans="1:14">
      <c r="A115" s="83" t="s">
        <v>155</v>
      </c>
      <c r="B115" s="84">
        <v>2013202</v>
      </c>
      <c r="C115" s="89" t="s">
        <v>157</v>
      </c>
      <c r="D115" s="86">
        <v>14</v>
      </c>
      <c r="E115" s="86">
        <v>40</v>
      </c>
      <c r="F115" s="19">
        <v>39</v>
      </c>
      <c r="G115" s="87">
        <f t="shared" si="16"/>
        <v>97.5</v>
      </c>
      <c r="H115" s="88">
        <v>3</v>
      </c>
      <c r="I115" s="86">
        <f t="shared" si="17"/>
        <v>36</v>
      </c>
      <c r="J115" s="87">
        <f t="shared" si="18"/>
        <v>1200</v>
      </c>
      <c r="K115" s="88">
        <v>13</v>
      </c>
      <c r="L115" s="88">
        <f t="shared" si="19"/>
        <v>-1</v>
      </c>
      <c r="M115" s="87">
        <f t="shared" si="20"/>
        <v>-7.14285714285714</v>
      </c>
      <c r="N115" s="100"/>
    </row>
    <row r="116" s="3" customFormat="1" spans="1:14">
      <c r="A116" s="83" t="s">
        <v>155</v>
      </c>
      <c r="B116" s="84">
        <v>2013203</v>
      </c>
      <c r="C116" s="89" t="s">
        <v>158</v>
      </c>
      <c r="D116" s="86"/>
      <c r="E116" s="86">
        <v>1</v>
      </c>
      <c r="F116" s="19">
        <v>1</v>
      </c>
      <c r="G116" s="87">
        <f t="shared" si="16"/>
        <v>100</v>
      </c>
      <c r="H116" s="88"/>
      <c r="I116" s="86">
        <f t="shared" si="17"/>
        <v>1</v>
      </c>
      <c r="J116" s="87">
        <f t="shared" si="18"/>
        <v>0</v>
      </c>
      <c r="K116" s="88"/>
      <c r="L116" s="88">
        <f t="shared" si="19"/>
        <v>0</v>
      </c>
      <c r="M116" s="87">
        <f t="shared" si="20"/>
        <v>0</v>
      </c>
      <c r="N116" s="100"/>
    </row>
    <row r="117" s="3" customFormat="1" spans="1:14">
      <c r="A117" s="83" t="s">
        <v>155</v>
      </c>
      <c r="B117" s="84">
        <v>2013250</v>
      </c>
      <c r="C117" s="89" t="s">
        <v>172</v>
      </c>
      <c r="D117" s="86"/>
      <c r="E117" s="86">
        <v>22</v>
      </c>
      <c r="F117" s="19">
        <v>22</v>
      </c>
      <c r="G117" s="87">
        <f t="shared" si="16"/>
        <v>100</v>
      </c>
      <c r="H117" s="88"/>
      <c r="I117" s="86">
        <f t="shared" si="17"/>
        <v>22</v>
      </c>
      <c r="J117" s="87">
        <f t="shared" si="18"/>
        <v>0</v>
      </c>
      <c r="K117" s="88">
        <v>29</v>
      </c>
      <c r="L117" s="88">
        <f t="shared" si="19"/>
        <v>29</v>
      </c>
      <c r="M117" s="87">
        <f t="shared" si="20"/>
        <v>0</v>
      </c>
      <c r="N117" s="100"/>
    </row>
    <row r="118" s="3" customFormat="1" spans="1:14">
      <c r="A118" s="83" t="s">
        <v>155</v>
      </c>
      <c r="B118" s="84">
        <v>2013299</v>
      </c>
      <c r="C118" s="90" t="s">
        <v>227</v>
      </c>
      <c r="D118" s="86">
        <f>242+7</f>
        <v>249</v>
      </c>
      <c r="E118" s="86">
        <v>340</v>
      </c>
      <c r="F118" s="19">
        <v>356</v>
      </c>
      <c r="G118" s="87">
        <f t="shared" si="16"/>
        <v>104.705882352941</v>
      </c>
      <c r="H118" s="88">
        <v>254</v>
      </c>
      <c r="I118" s="86">
        <f t="shared" si="17"/>
        <v>102</v>
      </c>
      <c r="J118" s="87">
        <f t="shared" si="18"/>
        <v>40.1574803149606</v>
      </c>
      <c r="K118" s="88"/>
      <c r="L118" s="88">
        <f t="shared" si="19"/>
        <v>-249</v>
      </c>
      <c r="M118" s="87">
        <f t="shared" si="20"/>
        <v>-100</v>
      </c>
      <c r="N118" s="100"/>
    </row>
    <row r="119" s="3" customFormat="1" spans="1:14">
      <c r="A119" s="83" t="s">
        <v>153</v>
      </c>
      <c r="B119" s="84">
        <v>20133</v>
      </c>
      <c r="C119" s="90" t="s">
        <v>228</v>
      </c>
      <c r="D119" s="86">
        <f t="shared" ref="D119:F119" si="31">SUM(D120:D123)</f>
        <v>272</v>
      </c>
      <c r="E119" s="86">
        <f t="shared" si="31"/>
        <v>319</v>
      </c>
      <c r="F119" s="19">
        <f t="shared" si="31"/>
        <v>319</v>
      </c>
      <c r="G119" s="87">
        <f t="shared" si="16"/>
        <v>100</v>
      </c>
      <c r="H119" s="88">
        <f>SUM(H120:H123)</f>
        <v>371</v>
      </c>
      <c r="I119" s="86">
        <f t="shared" si="17"/>
        <v>-52</v>
      </c>
      <c r="J119" s="87">
        <f t="shared" si="18"/>
        <v>-14.0161725067385</v>
      </c>
      <c r="K119" s="88">
        <f>SUM(K120:K123)</f>
        <v>46</v>
      </c>
      <c r="L119" s="88">
        <f t="shared" si="19"/>
        <v>-226</v>
      </c>
      <c r="M119" s="87">
        <f t="shared" si="20"/>
        <v>-83.0882352941177</v>
      </c>
      <c r="N119" s="100"/>
    </row>
    <row r="120" s="3" customFormat="1" spans="1:14">
      <c r="A120" s="83" t="s">
        <v>155</v>
      </c>
      <c r="B120" s="84">
        <v>2013301</v>
      </c>
      <c r="C120" s="85" t="s">
        <v>156</v>
      </c>
      <c r="D120" s="86">
        <v>54</v>
      </c>
      <c r="E120" s="86">
        <v>56</v>
      </c>
      <c r="F120" s="19">
        <v>56</v>
      </c>
      <c r="G120" s="87">
        <f t="shared" si="16"/>
        <v>100</v>
      </c>
      <c r="H120" s="88">
        <v>51</v>
      </c>
      <c r="I120" s="86">
        <f t="shared" si="17"/>
        <v>5</v>
      </c>
      <c r="J120" s="87">
        <f t="shared" si="18"/>
        <v>9.80392156862745</v>
      </c>
      <c r="K120" s="88">
        <v>46</v>
      </c>
      <c r="L120" s="88">
        <f t="shared" si="19"/>
        <v>-8</v>
      </c>
      <c r="M120" s="87">
        <f t="shared" si="20"/>
        <v>-14.8148148148148</v>
      </c>
      <c r="N120" s="100"/>
    </row>
    <row r="121" s="3" customFormat="1" spans="1:14">
      <c r="A121" s="83" t="s">
        <v>155</v>
      </c>
      <c r="B121" s="84">
        <v>2013302</v>
      </c>
      <c r="C121" s="89" t="s">
        <v>157</v>
      </c>
      <c r="D121" s="86"/>
      <c r="E121" s="86">
        <v>5</v>
      </c>
      <c r="F121" s="19">
        <v>5</v>
      </c>
      <c r="G121" s="87">
        <f t="shared" si="16"/>
        <v>100</v>
      </c>
      <c r="H121" s="88"/>
      <c r="I121" s="86">
        <f t="shared" si="17"/>
        <v>5</v>
      </c>
      <c r="J121" s="87">
        <f t="shared" si="18"/>
        <v>0</v>
      </c>
      <c r="K121" s="88"/>
      <c r="L121" s="88">
        <f t="shared" si="19"/>
        <v>0</v>
      </c>
      <c r="M121" s="87">
        <f t="shared" si="20"/>
        <v>0</v>
      </c>
      <c r="N121" s="100"/>
    </row>
    <row r="122" s="3" customFormat="1" spans="1:14">
      <c r="A122" s="83" t="s">
        <v>155</v>
      </c>
      <c r="B122" s="84">
        <v>2013350</v>
      </c>
      <c r="C122" s="89" t="s">
        <v>172</v>
      </c>
      <c r="D122" s="86"/>
      <c r="E122" s="86">
        <v>5</v>
      </c>
      <c r="F122" s="19">
        <v>5</v>
      </c>
      <c r="G122" s="87">
        <f t="shared" si="16"/>
        <v>100</v>
      </c>
      <c r="H122" s="88"/>
      <c r="I122" s="86">
        <f t="shared" si="17"/>
        <v>5</v>
      </c>
      <c r="J122" s="87">
        <f t="shared" si="18"/>
        <v>0</v>
      </c>
      <c r="K122" s="88"/>
      <c r="L122" s="88">
        <f t="shared" si="19"/>
        <v>0</v>
      </c>
      <c r="M122" s="87">
        <f t="shared" si="20"/>
        <v>0</v>
      </c>
      <c r="N122" s="100"/>
    </row>
    <row r="123" s="3" customFormat="1" spans="1:14">
      <c r="A123" s="83" t="s">
        <v>155</v>
      </c>
      <c r="B123" s="84">
        <v>2013399</v>
      </c>
      <c r="C123" s="90" t="s">
        <v>229</v>
      </c>
      <c r="D123" s="86">
        <f>217+1</f>
        <v>218</v>
      </c>
      <c r="E123" s="86">
        <v>253</v>
      </c>
      <c r="F123" s="19">
        <v>253</v>
      </c>
      <c r="G123" s="87">
        <f t="shared" si="16"/>
        <v>100</v>
      </c>
      <c r="H123" s="88">
        <v>320</v>
      </c>
      <c r="I123" s="86">
        <f t="shared" si="17"/>
        <v>-67</v>
      </c>
      <c r="J123" s="87">
        <f t="shared" si="18"/>
        <v>-20.9375</v>
      </c>
      <c r="K123" s="88"/>
      <c r="L123" s="88">
        <f t="shared" si="19"/>
        <v>-218</v>
      </c>
      <c r="M123" s="87">
        <f t="shared" si="20"/>
        <v>-100</v>
      </c>
      <c r="N123" s="100"/>
    </row>
    <row r="124" s="3" customFormat="1" spans="1:14">
      <c r="A124" s="83" t="s">
        <v>153</v>
      </c>
      <c r="B124" s="84">
        <v>20134</v>
      </c>
      <c r="C124" s="90" t="s">
        <v>230</v>
      </c>
      <c r="D124" s="86">
        <f t="shared" ref="D124:F124" si="32">SUM(D125:D129)</f>
        <v>51</v>
      </c>
      <c r="E124" s="86">
        <f t="shared" si="32"/>
        <v>91</v>
      </c>
      <c r="F124" s="19">
        <f t="shared" si="32"/>
        <v>91</v>
      </c>
      <c r="G124" s="87">
        <f t="shared" si="16"/>
        <v>100</v>
      </c>
      <c r="H124" s="88">
        <f>SUM(H125:H129)</f>
        <v>71</v>
      </c>
      <c r="I124" s="86">
        <f t="shared" si="17"/>
        <v>20</v>
      </c>
      <c r="J124" s="87">
        <f t="shared" si="18"/>
        <v>28.169014084507</v>
      </c>
      <c r="K124" s="88">
        <f>SUM(K125:K129)</f>
        <v>27</v>
      </c>
      <c r="L124" s="88">
        <f t="shared" si="19"/>
        <v>-24</v>
      </c>
      <c r="M124" s="87">
        <f t="shared" si="20"/>
        <v>-47.0588235294118</v>
      </c>
      <c r="N124" s="100"/>
    </row>
    <row r="125" s="3" customFormat="1" spans="1:14">
      <c r="A125" s="83" t="s">
        <v>155</v>
      </c>
      <c r="B125" s="84">
        <v>2013401</v>
      </c>
      <c r="C125" s="90" t="s">
        <v>156</v>
      </c>
      <c r="D125" s="86">
        <v>51</v>
      </c>
      <c r="E125" s="86">
        <v>54</v>
      </c>
      <c r="F125" s="19">
        <v>54</v>
      </c>
      <c r="G125" s="87">
        <f t="shared" si="16"/>
        <v>100</v>
      </c>
      <c r="H125" s="88">
        <v>43</v>
      </c>
      <c r="I125" s="86">
        <f t="shared" si="17"/>
        <v>11</v>
      </c>
      <c r="J125" s="87">
        <f t="shared" si="18"/>
        <v>25.5813953488372</v>
      </c>
      <c r="K125" s="88">
        <v>27</v>
      </c>
      <c r="L125" s="88">
        <f t="shared" si="19"/>
        <v>-24</v>
      </c>
      <c r="M125" s="87">
        <f t="shared" si="20"/>
        <v>-47.0588235294118</v>
      </c>
      <c r="N125" s="100"/>
    </row>
    <row r="126" s="3" customFormat="1" spans="1:14">
      <c r="A126" s="83" t="s">
        <v>155</v>
      </c>
      <c r="B126" s="84">
        <v>2013402</v>
      </c>
      <c r="C126" s="89" t="s">
        <v>157</v>
      </c>
      <c r="D126" s="86"/>
      <c r="E126" s="86"/>
      <c r="F126" s="19"/>
      <c r="G126" s="87">
        <f t="shared" si="16"/>
        <v>0</v>
      </c>
      <c r="H126" s="88"/>
      <c r="I126" s="86">
        <f t="shared" si="17"/>
        <v>0</v>
      </c>
      <c r="J126" s="87">
        <f t="shared" si="18"/>
        <v>0</v>
      </c>
      <c r="K126" s="88"/>
      <c r="L126" s="88">
        <f t="shared" si="19"/>
        <v>0</v>
      </c>
      <c r="M126" s="87">
        <f t="shared" si="20"/>
        <v>0</v>
      </c>
      <c r="N126" s="100"/>
    </row>
    <row r="127" s="3" customFormat="1" spans="1:14">
      <c r="A127" s="83" t="s">
        <v>155</v>
      </c>
      <c r="B127" s="84">
        <v>2013404</v>
      </c>
      <c r="C127" s="89" t="s">
        <v>231</v>
      </c>
      <c r="D127" s="86"/>
      <c r="E127" s="86"/>
      <c r="F127" s="19"/>
      <c r="G127" s="87">
        <f t="shared" si="16"/>
        <v>0</v>
      </c>
      <c r="H127" s="88"/>
      <c r="I127" s="86">
        <f t="shared" si="17"/>
        <v>0</v>
      </c>
      <c r="J127" s="87">
        <f t="shared" si="18"/>
        <v>0</v>
      </c>
      <c r="K127" s="88"/>
      <c r="L127" s="88">
        <f t="shared" si="19"/>
        <v>0</v>
      </c>
      <c r="M127" s="87">
        <f t="shared" si="20"/>
        <v>0</v>
      </c>
      <c r="N127" s="100"/>
    </row>
    <row r="128" s="3" customFormat="1" spans="1:14">
      <c r="A128" s="83" t="s">
        <v>155</v>
      </c>
      <c r="B128" s="84">
        <v>2013450</v>
      </c>
      <c r="C128" s="89" t="s">
        <v>172</v>
      </c>
      <c r="D128" s="86"/>
      <c r="E128" s="86"/>
      <c r="F128" s="19"/>
      <c r="G128" s="87">
        <f t="shared" si="16"/>
        <v>0</v>
      </c>
      <c r="H128" s="88"/>
      <c r="I128" s="86">
        <f t="shared" si="17"/>
        <v>0</v>
      </c>
      <c r="J128" s="87">
        <f t="shared" si="18"/>
        <v>0</v>
      </c>
      <c r="K128" s="88"/>
      <c r="L128" s="88">
        <f t="shared" si="19"/>
        <v>0</v>
      </c>
      <c r="M128" s="87">
        <f t="shared" si="20"/>
        <v>0</v>
      </c>
      <c r="N128" s="100"/>
    </row>
    <row r="129" s="3" customFormat="1" spans="1:14">
      <c r="A129" s="83" t="s">
        <v>155</v>
      </c>
      <c r="B129" s="84">
        <v>2013499</v>
      </c>
      <c r="C129" s="89" t="s">
        <v>232</v>
      </c>
      <c r="D129" s="86"/>
      <c r="E129" s="86">
        <v>37</v>
      </c>
      <c r="F129" s="19">
        <v>37</v>
      </c>
      <c r="G129" s="87">
        <f t="shared" si="16"/>
        <v>100</v>
      </c>
      <c r="H129" s="88">
        <v>28</v>
      </c>
      <c r="I129" s="86">
        <f t="shared" si="17"/>
        <v>9</v>
      </c>
      <c r="J129" s="87">
        <f t="shared" si="18"/>
        <v>32.1428571428571</v>
      </c>
      <c r="K129" s="88"/>
      <c r="L129" s="88">
        <f t="shared" si="19"/>
        <v>0</v>
      </c>
      <c r="M129" s="87">
        <f t="shared" si="20"/>
        <v>0</v>
      </c>
      <c r="N129" s="100"/>
    </row>
    <row r="130" s="3" customFormat="1" spans="1:14">
      <c r="A130" s="83" t="s">
        <v>153</v>
      </c>
      <c r="B130" s="84">
        <v>20135</v>
      </c>
      <c r="C130" s="90" t="s">
        <v>233</v>
      </c>
      <c r="D130" s="103">
        <f t="shared" ref="D130:F130" si="33">SUM(D131:D131)</f>
        <v>0</v>
      </c>
      <c r="E130" s="103">
        <f t="shared" si="33"/>
        <v>0</v>
      </c>
      <c r="F130" s="104">
        <f t="shared" si="33"/>
        <v>0</v>
      </c>
      <c r="G130" s="87">
        <f t="shared" si="16"/>
        <v>0</v>
      </c>
      <c r="H130" s="105">
        <f>SUM(H131:H131)</f>
        <v>0</v>
      </c>
      <c r="I130" s="86">
        <f t="shared" si="17"/>
        <v>0</v>
      </c>
      <c r="J130" s="87">
        <f t="shared" si="18"/>
        <v>0</v>
      </c>
      <c r="K130" s="105">
        <f>SUM(K131:K131)</f>
        <v>0</v>
      </c>
      <c r="L130" s="88">
        <f t="shared" si="19"/>
        <v>0</v>
      </c>
      <c r="M130" s="87">
        <f t="shared" si="20"/>
        <v>0</v>
      </c>
      <c r="N130" s="15"/>
    </row>
    <row r="131" s="3" customFormat="1" spans="1:14">
      <c r="A131" s="83" t="s">
        <v>155</v>
      </c>
      <c r="B131" s="84">
        <v>2013599</v>
      </c>
      <c r="C131" s="89" t="s">
        <v>234</v>
      </c>
      <c r="D131" s="106"/>
      <c r="E131" s="106"/>
      <c r="F131" s="107"/>
      <c r="G131" s="87">
        <f t="shared" si="16"/>
        <v>0</v>
      </c>
      <c r="H131" s="108"/>
      <c r="I131" s="86">
        <f t="shared" si="17"/>
        <v>0</v>
      </c>
      <c r="J131" s="87">
        <f t="shared" si="18"/>
        <v>0</v>
      </c>
      <c r="K131" s="108"/>
      <c r="L131" s="88">
        <f t="shared" si="19"/>
        <v>0</v>
      </c>
      <c r="M131" s="87">
        <f t="shared" si="20"/>
        <v>0</v>
      </c>
      <c r="N131" s="112"/>
    </row>
    <row r="132" s="3" customFormat="1" spans="1:14">
      <c r="A132" s="83" t="s">
        <v>153</v>
      </c>
      <c r="B132" s="84">
        <v>20136</v>
      </c>
      <c r="C132" s="90" t="s">
        <v>235</v>
      </c>
      <c r="D132" s="106">
        <f t="shared" ref="D132:F132" si="34">SUM(D133:D135)</f>
        <v>337</v>
      </c>
      <c r="E132" s="106">
        <f t="shared" si="34"/>
        <v>176</v>
      </c>
      <c r="F132" s="107">
        <f t="shared" si="34"/>
        <v>173</v>
      </c>
      <c r="G132" s="87">
        <f t="shared" si="16"/>
        <v>98.2954545454545</v>
      </c>
      <c r="H132" s="108">
        <f>SUM(H133:H135)</f>
        <v>222</v>
      </c>
      <c r="I132" s="86">
        <f t="shared" si="17"/>
        <v>-49</v>
      </c>
      <c r="J132" s="87">
        <f t="shared" si="18"/>
        <v>-22.0720720720721</v>
      </c>
      <c r="K132" s="108">
        <f>SUM(K133:K135)</f>
        <v>98</v>
      </c>
      <c r="L132" s="88">
        <f t="shared" si="19"/>
        <v>-239</v>
      </c>
      <c r="M132" s="87">
        <f t="shared" si="20"/>
        <v>-70.919881305638</v>
      </c>
      <c r="N132" s="112"/>
    </row>
    <row r="133" s="3" customFormat="1" spans="1:14">
      <c r="A133" s="83" t="s">
        <v>155</v>
      </c>
      <c r="B133" s="84">
        <v>2013601</v>
      </c>
      <c r="C133" s="90" t="s">
        <v>156</v>
      </c>
      <c r="D133" s="106">
        <v>81</v>
      </c>
      <c r="E133" s="106">
        <v>66</v>
      </c>
      <c r="F133" s="109">
        <v>66</v>
      </c>
      <c r="G133" s="87">
        <f t="shared" si="16"/>
        <v>100</v>
      </c>
      <c r="H133" s="108">
        <v>68</v>
      </c>
      <c r="I133" s="86">
        <f t="shared" si="17"/>
        <v>-2</v>
      </c>
      <c r="J133" s="87">
        <f t="shared" si="18"/>
        <v>-2.94117647058823</v>
      </c>
      <c r="K133" s="108">
        <v>35</v>
      </c>
      <c r="L133" s="88">
        <f t="shared" si="19"/>
        <v>-46</v>
      </c>
      <c r="M133" s="87">
        <f t="shared" si="20"/>
        <v>-56.7901234567901</v>
      </c>
      <c r="N133" s="113"/>
    </row>
    <row r="134" s="3" customFormat="1" spans="1:14">
      <c r="A134" s="83" t="s">
        <v>155</v>
      </c>
      <c r="B134" s="84">
        <v>2013650</v>
      </c>
      <c r="C134" s="90" t="s">
        <v>172</v>
      </c>
      <c r="D134" s="106"/>
      <c r="E134" s="106">
        <v>10</v>
      </c>
      <c r="F134" s="109">
        <v>10</v>
      </c>
      <c r="G134" s="87">
        <f t="shared" si="16"/>
        <v>100</v>
      </c>
      <c r="H134" s="108"/>
      <c r="I134" s="86">
        <f t="shared" si="17"/>
        <v>10</v>
      </c>
      <c r="J134" s="87">
        <f t="shared" si="18"/>
        <v>0</v>
      </c>
      <c r="K134" s="108"/>
      <c r="L134" s="88">
        <f t="shared" si="19"/>
        <v>0</v>
      </c>
      <c r="M134" s="87">
        <f t="shared" si="20"/>
        <v>0</v>
      </c>
      <c r="N134" s="113"/>
    </row>
    <row r="135" s="3" customFormat="1" spans="1:14">
      <c r="A135" s="83" t="s">
        <v>155</v>
      </c>
      <c r="B135" s="84">
        <v>2013699</v>
      </c>
      <c r="C135" s="89" t="s">
        <v>236</v>
      </c>
      <c r="D135" s="106">
        <v>256</v>
      </c>
      <c r="E135" s="106">
        <v>100</v>
      </c>
      <c r="F135" s="109">
        <v>97</v>
      </c>
      <c r="G135" s="87">
        <f t="shared" ref="G135:G198" si="35">IF(E135=0,,F135/E135*100)</f>
        <v>97</v>
      </c>
      <c r="H135" s="108">
        <v>154</v>
      </c>
      <c r="I135" s="86">
        <f t="shared" ref="I135:I198" si="36">F135-H135</f>
        <v>-57</v>
      </c>
      <c r="J135" s="87">
        <f t="shared" ref="J135:J198" si="37">IF(H135=0,,I135/H135*100)</f>
        <v>-37.012987012987</v>
      </c>
      <c r="K135" s="108">
        <v>63</v>
      </c>
      <c r="L135" s="88">
        <f t="shared" ref="L135:L198" si="38">K135-D135</f>
        <v>-193</v>
      </c>
      <c r="M135" s="87">
        <f t="shared" ref="M135:M198" si="39">IF(D135=0,,L135/D135*100)</f>
        <v>-75.390625</v>
      </c>
      <c r="N135" s="113"/>
    </row>
    <row r="136" s="3" customFormat="1" spans="1:14">
      <c r="A136" s="83" t="s">
        <v>153</v>
      </c>
      <c r="B136" s="84">
        <v>20137</v>
      </c>
      <c r="C136" s="89" t="s">
        <v>237</v>
      </c>
      <c r="D136" s="106">
        <f t="shared" ref="D136:F136" si="40">SUM(D137:D137)</f>
        <v>0</v>
      </c>
      <c r="E136" s="106">
        <f t="shared" si="40"/>
        <v>0</v>
      </c>
      <c r="F136" s="109">
        <f t="shared" si="40"/>
        <v>0</v>
      </c>
      <c r="G136" s="87">
        <f t="shared" si="35"/>
        <v>0</v>
      </c>
      <c r="H136" s="108">
        <f>SUM(H137:H137)</f>
        <v>0</v>
      </c>
      <c r="I136" s="86">
        <f t="shared" si="36"/>
        <v>0</v>
      </c>
      <c r="J136" s="87">
        <f t="shared" si="37"/>
        <v>0</v>
      </c>
      <c r="K136" s="108">
        <f>SUM(K137:K137)</f>
        <v>0</v>
      </c>
      <c r="L136" s="88">
        <f t="shared" si="38"/>
        <v>0</v>
      </c>
      <c r="M136" s="87">
        <f t="shared" si="39"/>
        <v>0</v>
      </c>
      <c r="N136" s="113"/>
    </row>
    <row r="137" s="3" customFormat="1" spans="1:14">
      <c r="A137" s="83" t="s">
        <v>155</v>
      </c>
      <c r="B137" s="84">
        <v>2013799</v>
      </c>
      <c r="C137" s="89" t="s">
        <v>238</v>
      </c>
      <c r="D137" s="106"/>
      <c r="E137" s="106"/>
      <c r="F137" s="107"/>
      <c r="G137" s="87">
        <f t="shared" si="35"/>
        <v>0</v>
      </c>
      <c r="H137" s="108"/>
      <c r="I137" s="86">
        <f t="shared" si="36"/>
        <v>0</v>
      </c>
      <c r="J137" s="87">
        <f t="shared" si="37"/>
        <v>0</v>
      </c>
      <c r="K137" s="108"/>
      <c r="L137" s="88">
        <f t="shared" si="38"/>
        <v>0</v>
      </c>
      <c r="M137" s="87">
        <f t="shared" si="39"/>
        <v>0</v>
      </c>
      <c r="N137" s="112"/>
    </row>
    <row r="138" s="3" customFormat="1" spans="1:14">
      <c r="A138" s="83" t="s">
        <v>153</v>
      </c>
      <c r="B138" s="84">
        <v>20138</v>
      </c>
      <c r="C138" s="89" t="s">
        <v>239</v>
      </c>
      <c r="D138" s="106">
        <f t="shared" ref="D138:H138" si="41">SUM(D139:D144)</f>
        <v>333</v>
      </c>
      <c r="E138" s="106">
        <v>450</v>
      </c>
      <c r="F138" s="107">
        <f>SUM(F139:F144)</f>
        <v>448</v>
      </c>
      <c r="G138" s="87">
        <f t="shared" si="35"/>
        <v>99.5555555555556</v>
      </c>
      <c r="H138" s="108">
        <f t="shared" si="41"/>
        <v>292</v>
      </c>
      <c r="I138" s="86">
        <f t="shared" si="36"/>
        <v>156</v>
      </c>
      <c r="J138" s="87">
        <f t="shared" si="37"/>
        <v>53.4246575342466</v>
      </c>
      <c r="K138" s="108">
        <f>SUM(K139:K144)</f>
        <v>326</v>
      </c>
      <c r="L138" s="88">
        <f t="shared" si="38"/>
        <v>-7</v>
      </c>
      <c r="M138" s="87">
        <f t="shared" si="39"/>
        <v>-2.1021021021021</v>
      </c>
      <c r="N138" s="112"/>
    </row>
    <row r="139" s="3" customFormat="1" spans="1:14">
      <c r="A139" s="83" t="s">
        <v>155</v>
      </c>
      <c r="B139" s="84">
        <v>2013801</v>
      </c>
      <c r="C139" s="89" t="s">
        <v>156</v>
      </c>
      <c r="D139" s="86">
        <v>311</v>
      </c>
      <c r="E139" s="86">
        <v>340</v>
      </c>
      <c r="F139" s="19">
        <v>340</v>
      </c>
      <c r="G139" s="87">
        <f t="shared" si="35"/>
        <v>100</v>
      </c>
      <c r="H139" s="88">
        <v>273</v>
      </c>
      <c r="I139" s="86">
        <f t="shared" si="36"/>
        <v>67</v>
      </c>
      <c r="J139" s="87">
        <f t="shared" si="37"/>
        <v>24.5421245421245</v>
      </c>
      <c r="K139" s="88">
        <v>326</v>
      </c>
      <c r="L139" s="88">
        <f t="shared" si="38"/>
        <v>15</v>
      </c>
      <c r="M139" s="87">
        <f t="shared" si="39"/>
        <v>4.82315112540193</v>
      </c>
      <c r="N139" s="100"/>
    </row>
    <row r="140" s="3" customFormat="1" spans="1:14">
      <c r="A140" s="83" t="s">
        <v>155</v>
      </c>
      <c r="B140" s="84">
        <v>2013802</v>
      </c>
      <c r="C140" s="89" t="s">
        <v>157</v>
      </c>
      <c r="D140" s="86"/>
      <c r="E140" s="86">
        <v>80</v>
      </c>
      <c r="F140" s="19">
        <v>80</v>
      </c>
      <c r="G140" s="87">
        <f t="shared" si="35"/>
        <v>100</v>
      </c>
      <c r="H140" s="88"/>
      <c r="I140" s="86">
        <f t="shared" si="36"/>
        <v>80</v>
      </c>
      <c r="J140" s="87">
        <f t="shared" si="37"/>
        <v>0</v>
      </c>
      <c r="K140" s="88"/>
      <c r="L140" s="88">
        <f t="shared" si="38"/>
        <v>0</v>
      </c>
      <c r="M140" s="87">
        <f t="shared" si="39"/>
        <v>0</v>
      </c>
      <c r="N140" s="100"/>
    </row>
    <row r="141" s="3" customFormat="1" spans="1:14">
      <c r="A141" s="83" t="s">
        <v>155</v>
      </c>
      <c r="B141" s="84">
        <v>2013804</v>
      </c>
      <c r="C141" s="89" t="s">
        <v>240</v>
      </c>
      <c r="D141" s="86"/>
      <c r="E141" s="86">
        <v>2</v>
      </c>
      <c r="F141" s="19">
        <v>2</v>
      </c>
      <c r="G141" s="87">
        <f t="shared" si="35"/>
        <v>100</v>
      </c>
      <c r="H141" s="88"/>
      <c r="I141" s="86">
        <f t="shared" si="36"/>
        <v>2</v>
      </c>
      <c r="J141" s="87">
        <f t="shared" si="37"/>
        <v>0</v>
      </c>
      <c r="K141" s="88"/>
      <c r="L141" s="88">
        <f t="shared" si="38"/>
        <v>0</v>
      </c>
      <c r="M141" s="87">
        <f t="shared" si="39"/>
        <v>0</v>
      </c>
      <c r="N141" s="100"/>
    </row>
    <row r="142" s="3" customFormat="1" spans="1:14">
      <c r="A142" s="83" t="s">
        <v>155</v>
      </c>
      <c r="B142" s="84">
        <v>2013805</v>
      </c>
      <c r="C142" s="89" t="s">
        <v>241</v>
      </c>
      <c r="D142" s="86"/>
      <c r="E142" s="86"/>
      <c r="F142" s="19"/>
      <c r="G142" s="87">
        <f t="shared" si="35"/>
        <v>0</v>
      </c>
      <c r="H142" s="88"/>
      <c r="I142" s="86">
        <f t="shared" si="36"/>
        <v>0</v>
      </c>
      <c r="J142" s="87">
        <f t="shared" si="37"/>
        <v>0</v>
      </c>
      <c r="K142" s="88"/>
      <c r="L142" s="88">
        <f t="shared" si="38"/>
        <v>0</v>
      </c>
      <c r="M142" s="87">
        <f t="shared" si="39"/>
        <v>0</v>
      </c>
      <c r="N142" s="100"/>
    </row>
    <row r="143" s="3" customFormat="1" spans="1:14">
      <c r="A143" s="83" t="s">
        <v>155</v>
      </c>
      <c r="B143" s="84">
        <v>2013816</v>
      </c>
      <c r="C143" s="89" t="s">
        <v>242</v>
      </c>
      <c r="D143" s="86"/>
      <c r="E143" s="86">
        <v>8</v>
      </c>
      <c r="F143" s="19">
        <v>8</v>
      </c>
      <c r="G143" s="87">
        <f t="shared" si="35"/>
        <v>100</v>
      </c>
      <c r="H143" s="88"/>
      <c r="I143" s="86">
        <f t="shared" si="36"/>
        <v>8</v>
      </c>
      <c r="J143" s="87">
        <f t="shared" si="37"/>
        <v>0</v>
      </c>
      <c r="K143" s="88"/>
      <c r="L143" s="88">
        <f t="shared" si="38"/>
        <v>0</v>
      </c>
      <c r="M143" s="87">
        <f t="shared" si="39"/>
        <v>0</v>
      </c>
      <c r="N143" s="100"/>
    </row>
    <row r="144" s="3" customFormat="1" spans="1:14">
      <c r="A144" s="83" t="s">
        <v>155</v>
      </c>
      <c r="B144" s="84">
        <v>2013899</v>
      </c>
      <c r="C144" s="89" t="s">
        <v>243</v>
      </c>
      <c r="D144" s="86">
        <v>22</v>
      </c>
      <c r="E144" s="86">
        <v>18</v>
      </c>
      <c r="F144" s="19">
        <v>18</v>
      </c>
      <c r="G144" s="87">
        <f t="shared" si="35"/>
        <v>100</v>
      </c>
      <c r="H144" s="88">
        <v>19</v>
      </c>
      <c r="I144" s="86">
        <f t="shared" si="36"/>
        <v>-1</v>
      </c>
      <c r="J144" s="87">
        <f t="shared" si="37"/>
        <v>-5.26315789473684</v>
      </c>
      <c r="K144" s="88"/>
      <c r="L144" s="88">
        <f t="shared" si="38"/>
        <v>-22</v>
      </c>
      <c r="M144" s="87">
        <f t="shared" si="39"/>
        <v>-100</v>
      </c>
      <c r="N144" s="100"/>
    </row>
    <row r="145" s="3" customFormat="1" spans="1:14">
      <c r="A145" s="83" t="s">
        <v>153</v>
      </c>
      <c r="B145" s="84">
        <v>20199</v>
      </c>
      <c r="C145" s="90" t="s">
        <v>244</v>
      </c>
      <c r="D145" s="86">
        <f t="shared" ref="D145:F145" si="42">SUM(D146:D146)</f>
        <v>113</v>
      </c>
      <c r="E145" s="86">
        <f t="shared" si="42"/>
        <v>100</v>
      </c>
      <c r="F145" s="19">
        <f t="shared" si="42"/>
        <v>10</v>
      </c>
      <c r="G145" s="87">
        <f t="shared" si="35"/>
        <v>10</v>
      </c>
      <c r="H145" s="88">
        <f>SUM(H146:H146)</f>
        <v>99</v>
      </c>
      <c r="I145" s="86">
        <f t="shared" si="36"/>
        <v>-89</v>
      </c>
      <c r="J145" s="87">
        <f t="shared" si="37"/>
        <v>-89.8989898989899</v>
      </c>
      <c r="K145" s="88">
        <f>SUM(K146:K146)</f>
        <v>1767</v>
      </c>
      <c r="L145" s="88">
        <f t="shared" si="38"/>
        <v>1654</v>
      </c>
      <c r="M145" s="87">
        <f t="shared" si="39"/>
        <v>1463.71681415929</v>
      </c>
      <c r="N145" s="100"/>
    </row>
    <row r="146" s="3" customFormat="1" spans="1:14">
      <c r="A146" s="83" t="s">
        <v>155</v>
      </c>
      <c r="B146" s="84">
        <v>2019999</v>
      </c>
      <c r="C146" s="90" t="s">
        <v>245</v>
      </c>
      <c r="D146" s="86">
        <f>47+10+6+50</f>
        <v>113</v>
      </c>
      <c r="E146" s="86">
        <v>100</v>
      </c>
      <c r="F146" s="19">
        <v>10</v>
      </c>
      <c r="G146" s="87">
        <f t="shared" si="35"/>
        <v>10</v>
      </c>
      <c r="H146" s="88">
        <v>99</v>
      </c>
      <c r="I146" s="86">
        <f t="shared" si="36"/>
        <v>-89</v>
      </c>
      <c r="J146" s="87">
        <f t="shared" si="37"/>
        <v>-89.8989898989899</v>
      </c>
      <c r="K146" s="88">
        <f>37+10+40+410+1270</f>
        <v>1767</v>
      </c>
      <c r="L146" s="88">
        <f t="shared" si="38"/>
        <v>1654</v>
      </c>
      <c r="M146" s="87">
        <f t="shared" si="39"/>
        <v>1463.71681415929</v>
      </c>
      <c r="N146" s="100"/>
    </row>
    <row r="147" s="3" customFormat="1" spans="1:14">
      <c r="A147" s="83" t="s">
        <v>151</v>
      </c>
      <c r="B147" s="84">
        <v>202</v>
      </c>
      <c r="C147" s="85" t="s">
        <v>246</v>
      </c>
      <c r="D147" s="86">
        <f t="shared" ref="D147:F147" si="43">SUM(D148:D149)</f>
        <v>0</v>
      </c>
      <c r="E147" s="86">
        <f t="shared" si="43"/>
        <v>0</v>
      </c>
      <c r="F147" s="86">
        <f t="shared" si="43"/>
        <v>0</v>
      </c>
      <c r="G147" s="87">
        <f t="shared" si="35"/>
        <v>0</v>
      </c>
      <c r="H147" s="88">
        <f>SUM(H148:H149)</f>
        <v>0</v>
      </c>
      <c r="I147" s="86">
        <f t="shared" si="36"/>
        <v>0</v>
      </c>
      <c r="J147" s="87">
        <f t="shared" si="37"/>
        <v>0</v>
      </c>
      <c r="K147" s="88">
        <f>SUM(K148:K149)</f>
        <v>0</v>
      </c>
      <c r="L147" s="88">
        <f t="shared" si="38"/>
        <v>0</v>
      </c>
      <c r="M147" s="87">
        <f t="shared" si="39"/>
        <v>0</v>
      </c>
      <c r="N147" s="100"/>
    </row>
    <row r="148" s="3" customFormat="1" hidden="1" spans="1:14">
      <c r="A148" s="83" t="s">
        <v>153</v>
      </c>
      <c r="B148" s="84">
        <v>20215</v>
      </c>
      <c r="C148" s="89" t="s">
        <v>247</v>
      </c>
      <c r="D148" s="86"/>
      <c r="E148" s="86"/>
      <c r="F148" s="19"/>
      <c r="G148" s="87">
        <f t="shared" si="35"/>
        <v>0</v>
      </c>
      <c r="H148" s="88"/>
      <c r="I148" s="86">
        <f t="shared" si="36"/>
        <v>0</v>
      </c>
      <c r="J148" s="87">
        <f t="shared" si="37"/>
        <v>0</v>
      </c>
      <c r="K148" s="88"/>
      <c r="L148" s="88">
        <f t="shared" si="38"/>
        <v>0</v>
      </c>
      <c r="M148" s="87">
        <f t="shared" si="39"/>
        <v>0</v>
      </c>
      <c r="N148" s="100"/>
    </row>
    <row r="149" s="3" customFormat="1" hidden="1" spans="1:14">
      <c r="A149" s="83" t="s">
        <v>153</v>
      </c>
      <c r="B149" s="84">
        <v>20299</v>
      </c>
      <c r="C149" s="89" t="s">
        <v>248</v>
      </c>
      <c r="D149" s="86"/>
      <c r="E149" s="86"/>
      <c r="F149" s="19"/>
      <c r="G149" s="87">
        <f t="shared" si="35"/>
        <v>0</v>
      </c>
      <c r="H149" s="88"/>
      <c r="I149" s="86">
        <f t="shared" si="36"/>
        <v>0</v>
      </c>
      <c r="J149" s="87">
        <f t="shared" si="37"/>
        <v>0</v>
      </c>
      <c r="K149" s="88"/>
      <c r="L149" s="88">
        <f t="shared" si="38"/>
        <v>0</v>
      </c>
      <c r="M149" s="87">
        <f t="shared" si="39"/>
        <v>0</v>
      </c>
      <c r="N149" s="100"/>
    </row>
    <row r="150" s="3" customFormat="1" spans="1:14">
      <c r="A150" s="83" t="s">
        <v>151</v>
      </c>
      <c r="B150" s="84">
        <v>203</v>
      </c>
      <c r="C150" s="85" t="s">
        <v>249</v>
      </c>
      <c r="D150" s="86">
        <f t="shared" ref="D150:F150" si="44">SUM(D151,D157)</f>
        <v>63</v>
      </c>
      <c r="E150" s="86">
        <f t="shared" si="44"/>
        <v>63</v>
      </c>
      <c r="F150" s="86">
        <f t="shared" si="44"/>
        <v>60</v>
      </c>
      <c r="G150" s="87">
        <f t="shared" si="35"/>
        <v>95.2380952380952</v>
      </c>
      <c r="H150" s="88">
        <f>SUM(H151,H157)</f>
        <v>111</v>
      </c>
      <c r="I150" s="86">
        <f t="shared" si="36"/>
        <v>-51</v>
      </c>
      <c r="J150" s="87">
        <f t="shared" si="37"/>
        <v>-45.945945945946</v>
      </c>
      <c r="K150" s="88">
        <f>SUM(K151,K157)</f>
        <v>63</v>
      </c>
      <c r="L150" s="88">
        <f t="shared" si="38"/>
        <v>0</v>
      </c>
      <c r="M150" s="87">
        <f t="shared" si="39"/>
        <v>0</v>
      </c>
      <c r="N150" s="100"/>
    </row>
    <row r="151" s="3" customFormat="1" spans="1:14">
      <c r="A151" s="83" t="s">
        <v>153</v>
      </c>
      <c r="B151" s="84">
        <v>20306</v>
      </c>
      <c r="C151" s="90" t="s">
        <v>250</v>
      </c>
      <c r="D151" s="86">
        <f t="shared" ref="D151:F151" si="45">SUM(D152:D156)</f>
        <v>63</v>
      </c>
      <c r="E151" s="86">
        <f t="shared" si="45"/>
        <v>48</v>
      </c>
      <c r="F151" s="19">
        <f t="shared" si="45"/>
        <v>45</v>
      </c>
      <c r="G151" s="87">
        <f t="shared" si="35"/>
        <v>93.75</v>
      </c>
      <c r="H151" s="88">
        <f>SUM(H152:H156)</f>
        <v>0</v>
      </c>
      <c r="I151" s="86">
        <f t="shared" si="36"/>
        <v>45</v>
      </c>
      <c r="J151" s="87">
        <f t="shared" si="37"/>
        <v>0</v>
      </c>
      <c r="K151" s="88">
        <f>SUM(K152:K156)</f>
        <v>63</v>
      </c>
      <c r="L151" s="88">
        <f t="shared" si="38"/>
        <v>0</v>
      </c>
      <c r="M151" s="87">
        <f t="shared" si="39"/>
        <v>0</v>
      </c>
      <c r="N151" s="100"/>
    </row>
    <row r="152" s="3" customFormat="1" spans="1:14">
      <c r="A152" s="83" t="s">
        <v>155</v>
      </c>
      <c r="B152" s="84">
        <v>2030601</v>
      </c>
      <c r="C152" s="90" t="s">
        <v>251</v>
      </c>
      <c r="D152" s="86">
        <v>22</v>
      </c>
      <c r="E152" s="86">
        <v>3</v>
      </c>
      <c r="F152" s="19"/>
      <c r="G152" s="87">
        <f t="shared" si="35"/>
        <v>0</v>
      </c>
      <c r="H152" s="88"/>
      <c r="I152" s="86">
        <f t="shared" si="36"/>
        <v>0</v>
      </c>
      <c r="J152" s="87">
        <f t="shared" si="37"/>
        <v>0</v>
      </c>
      <c r="K152" s="88"/>
      <c r="L152" s="88">
        <f t="shared" si="38"/>
        <v>-22</v>
      </c>
      <c r="M152" s="87">
        <f t="shared" si="39"/>
        <v>-100</v>
      </c>
      <c r="N152" s="100"/>
    </row>
    <row r="153" s="3" customFormat="1" hidden="1" spans="1:14">
      <c r="A153" s="83" t="s">
        <v>155</v>
      </c>
      <c r="B153" s="84">
        <v>2030604</v>
      </c>
      <c r="C153" s="89" t="s">
        <v>252</v>
      </c>
      <c r="D153" s="86"/>
      <c r="E153" s="86"/>
      <c r="F153" s="19"/>
      <c r="G153" s="87">
        <f t="shared" si="35"/>
        <v>0</v>
      </c>
      <c r="H153" s="88"/>
      <c r="I153" s="86">
        <f t="shared" si="36"/>
        <v>0</v>
      </c>
      <c r="J153" s="87">
        <f t="shared" si="37"/>
        <v>0</v>
      </c>
      <c r="K153" s="88"/>
      <c r="L153" s="88">
        <f t="shared" si="38"/>
        <v>0</v>
      </c>
      <c r="M153" s="87">
        <f t="shared" si="39"/>
        <v>0</v>
      </c>
      <c r="N153" s="100"/>
    </row>
    <row r="154" s="3" customFormat="1" hidden="1" spans="1:14">
      <c r="A154" s="83" t="s">
        <v>155</v>
      </c>
      <c r="B154" s="84">
        <v>2030605</v>
      </c>
      <c r="C154" s="90" t="s">
        <v>253</v>
      </c>
      <c r="D154" s="86"/>
      <c r="E154" s="86"/>
      <c r="F154" s="19"/>
      <c r="G154" s="87">
        <f t="shared" si="35"/>
        <v>0</v>
      </c>
      <c r="H154" s="88"/>
      <c r="I154" s="86">
        <f t="shared" si="36"/>
        <v>0</v>
      </c>
      <c r="J154" s="87">
        <f t="shared" si="37"/>
        <v>0</v>
      </c>
      <c r="K154" s="88"/>
      <c r="L154" s="88">
        <f t="shared" si="38"/>
        <v>0</v>
      </c>
      <c r="M154" s="87">
        <f t="shared" si="39"/>
        <v>0</v>
      </c>
      <c r="N154" s="100"/>
    </row>
    <row r="155" s="3" customFormat="1" spans="1:14">
      <c r="A155" s="83" t="s">
        <v>155</v>
      </c>
      <c r="B155" s="84">
        <v>2030607</v>
      </c>
      <c r="C155" s="90" t="s">
        <v>254</v>
      </c>
      <c r="D155" s="86">
        <v>37</v>
      </c>
      <c r="E155" s="86"/>
      <c r="F155" s="19"/>
      <c r="G155" s="87">
        <f t="shared" si="35"/>
        <v>0</v>
      </c>
      <c r="H155" s="88"/>
      <c r="I155" s="86">
        <f t="shared" si="36"/>
        <v>0</v>
      </c>
      <c r="J155" s="87">
        <f t="shared" si="37"/>
        <v>0</v>
      </c>
      <c r="K155" s="88"/>
      <c r="L155" s="88">
        <f t="shared" si="38"/>
        <v>-37</v>
      </c>
      <c r="M155" s="87">
        <f t="shared" si="39"/>
        <v>-100</v>
      </c>
      <c r="N155" s="100"/>
    </row>
    <row r="156" s="3" customFormat="1" spans="1:14">
      <c r="A156" s="83" t="s">
        <v>155</v>
      </c>
      <c r="B156" s="84">
        <v>2030699</v>
      </c>
      <c r="C156" s="90" t="s">
        <v>255</v>
      </c>
      <c r="D156" s="86">
        <v>4</v>
      </c>
      <c r="E156" s="86">
        <v>45</v>
      </c>
      <c r="F156" s="19">
        <v>45</v>
      </c>
      <c r="G156" s="87">
        <f t="shared" si="35"/>
        <v>100</v>
      </c>
      <c r="H156" s="88"/>
      <c r="I156" s="86">
        <f t="shared" si="36"/>
        <v>45</v>
      </c>
      <c r="J156" s="87">
        <f t="shared" si="37"/>
        <v>0</v>
      </c>
      <c r="K156" s="88">
        <v>63</v>
      </c>
      <c r="L156" s="88">
        <f t="shared" si="38"/>
        <v>59</v>
      </c>
      <c r="M156" s="87">
        <f t="shared" si="39"/>
        <v>1475</v>
      </c>
      <c r="N156" s="100"/>
    </row>
    <row r="157" s="3" customFormat="1" spans="1:14">
      <c r="A157" s="83" t="s">
        <v>153</v>
      </c>
      <c r="B157" s="84">
        <v>20399</v>
      </c>
      <c r="C157" s="90" t="s">
        <v>256</v>
      </c>
      <c r="D157" s="86">
        <f t="shared" ref="D157:F157" si="46">D158</f>
        <v>0</v>
      </c>
      <c r="E157" s="86">
        <f t="shared" si="46"/>
        <v>15</v>
      </c>
      <c r="F157" s="92">
        <f t="shared" si="46"/>
        <v>15</v>
      </c>
      <c r="G157" s="87">
        <f t="shared" si="35"/>
        <v>100</v>
      </c>
      <c r="H157" s="88">
        <f>H158</f>
        <v>111</v>
      </c>
      <c r="I157" s="86">
        <f t="shared" si="36"/>
        <v>-96</v>
      </c>
      <c r="J157" s="87">
        <f t="shared" si="37"/>
        <v>-86.4864864864865</v>
      </c>
      <c r="K157" s="88">
        <f>K158</f>
        <v>0</v>
      </c>
      <c r="L157" s="88">
        <f t="shared" si="38"/>
        <v>0</v>
      </c>
      <c r="M157" s="87">
        <f t="shared" si="39"/>
        <v>0</v>
      </c>
      <c r="N157" s="100"/>
    </row>
    <row r="158" s="3" customFormat="1" spans="1:14">
      <c r="A158" s="83" t="s">
        <v>155</v>
      </c>
      <c r="B158" s="84">
        <v>2039999</v>
      </c>
      <c r="C158" s="90" t="s">
        <v>257</v>
      </c>
      <c r="D158" s="86"/>
      <c r="E158" s="86">
        <v>15</v>
      </c>
      <c r="F158" s="92">
        <v>15</v>
      </c>
      <c r="G158" s="87">
        <f t="shared" si="35"/>
        <v>100</v>
      </c>
      <c r="H158" s="88">
        <v>111</v>
      </c>
      <c r="I158" s="86">
        <f t="shared" si="36"/>
        <v>-96</v>
      </c>
      <c r="J158" s="87">
        <f t="shared" si="37"/>
        <v>-86.4864864864865</v>
      </c>
      <c r="K158" s="88"/>
      <c r="L158" s="88">
        <f t="shared" si="38"/>
        <v>0</v>
      </c>
      <c r="M158" s="87">
        <f t="shared" si="39"/>
        <v>0</v>
      </c>
      <c r="N158" s="100"/>
    </row>
    <row r="159" s="3" customFormat="1" spans="1:14">
      <c r="A159" s="83" t="s">
        <v>151</v>
      </c>
      <c r="B159" s="84">
        <v>204</v>
      </c>
      <c r="C159" s="85" t="s">
        <v>258</v>
      </c>
      <c r="D159" s="86">
        <f t="shared" ref="D159:F159" si="47">SUM(D160,D162,D166,D168,D174,D181,D190,D192,D194,D196,D198)</f>
        <v>1537</v>
      </c>
      <c r="E159" s="86">
        <f t="shared" si="47"/>
        <v>1537</v>
      </c>
      <c r="F159" s="86">
        <f t="shared" si="47"/>
        <v>1621</v>
      </c>
      <c r="G159" s="87">
        <f t="shared" si="35"/>
        <v>105.465191932336</v>
      </c>
      <c r="H159" s="88">
        <f>SUM(H160,H162,H166,H168,H174,H181,H190,H192,H194,H196,H198)</f>
        <v>2454</v>
      </c>
      <c r="I159" s="86">
        <f t="shared" si="36"/>
        <v>-833</v>
      </c>
      <c r="J159" s="87">
        <f t="shared" si="37"/>
        <v>-33.9445802770986</v>
      </c>
      <c r="K159" s="88">
        <f>SUM(K160,K162,K166,K168,K174,K181,K190,K192,K194,K196,K198)</f>
        <v>875</v>
      </c>
      <c r="L159" s="88">
        <f t="shared" si="38"/>
        <v>-662</v>
      </c>
      <c r="M159" s="87">
        <f t="shared" si="39"/>
        <v>-43.0709173715029</v>
      </c>
      <c r="N159" s="100"/>
    </row>
    <row r="160" s="3" customFormat="1" spans="1:14">
      <c r="A160" s="83" t="s">
        <v>153</v>
      </c>
      <c r="B160" s="84">
        <v>20401</v>
      </c>
      <c r="C160" s="89" t="s">
        <v>259</v>
      </c>
      <c r="D160" s="86">
        <f t="shared" ref="D160:F160" si="48">SUM(D161:D161)</f>
        <v>0</v>
      </c>
      <c r="E160" s="86">
        <f t="shared" si="48"/>
        <v>0</v>
      </c>
      <c r="F160" s="19">
        <f t="shared" si="48"/>
        <v>0</v>
      </c>
      <c r="G160" s="87">
        <f t="shared" si="35"/>
        <v>0</v>
      </c>
      <c r="H160" s="88">
        <f>SUM(H161:H161)</f>
        <v>0</v>
      </c>
      <c r="I160" s="86">
        <f t="shared" si="36"/>
        <v>0</v>
      </c>
      <c r="J160" s="87">
        <f t="shared" si="37"/>
        <v>0</v>
      </c>
      <c r="K160" s="88">
        <f>SUM(K161:K161)</f>
        <v>247</v>
      </c>
      <c r="L160" s="88">
        <f t="shared" si="38"/>
        <v>247</v>
      </c>
      <c r="M160" s="87">
        <f t="shared" si="39"/>
        <v>0</v>
      </c>
      <c r="N160" s="100"/>
    </row>
    <row r="161" s="3" customFormat="1" spans="1:14">
      <c r="A161" s="83" t="s">
        <v>155</v>
      </c>
      <c r="B161" s="84">
        <v>2040101</v>
      </c>
      <c r="C161" s="89" t="s">
        <v>260</v>
      </c>
      <c r="D161" s="86"/>
      <c r="E161" s="86"/>
      <c r="F161" s="19"/>
      <c r="G161" s="87">
        <f t="shared" si="35"/>
        <v>0</v>
      </c>
      <c r="H161" s="88"/>
      <c r="I161" s="86">
        <f t="shared" si="36"/>
        <v>0</v>
      </c>
      <c r="J161" s="87">
        <f t="shared" si="37"/>
        <v>0</v>
      </c>
      <c r="K161" s="88">
        <v>247</v>
      </c>
      <c r="L161" s="88">
        <f t="shared" si="38"/>
        <v>247</v>
      </c>
      <c r="M161" s="87">
        <f t="shared" si="39"/>
        <v>0</v>
      </c>
      <c r="N161" s="100"/>
    </row>
    <row r="162" s="3" customFormat="1" spans="1:14">
      <c r="A162" s="83" t="s">
        <v>153</v>
      </c>
      <c r="B162" s="84">
        <v>20402</v>
      </c>
      <c r="C162" s="90" t="s">
        <v>261</v>
      </c>
      <c r="D162" s="86">
        <f t="shared" ref="D162:F162" si="49">SUM(D163:D165)</f>
        <v>40</v>
      </c>
      <c r="E162" s="86">
        <f t="shared" si="49"/>
        <v>40</v>
      </c>
      <c r="F162" s="19">
        <f t="shared" si="49"/>
        <v>36</v>
      </c>
      <c r="G162" s="87">
        <f t="shared" si="35"/>
        <v>90</v>
      </c>
      <c r="H162" s="88">
        <f>SUM(H163:H165)</f>
        <v>294</v>
      </c>
      <c r="I162" s="86">
        <f t="shared" si="36"/>
        <v>-258</v>
      </c>
      <c r="J162" s="87">
        <f t="shared" si="37"/>
        <v>-87.7551020408163</v>
      </c>
      <c r="K162" s="88">
        <f>SUM(K163:K165)</f>
        <v>39</v>
      </c>
      <c r="L162" s="88">
        <f t="shared" si="38"/>
        <v>-1</v>
      </c>
      <c r="M162" s="87">
        <f t="shared" si="39"/>
        <v>-2.5</v>
      </c>
      <c r="N162" s="100"/>
    </row>
    <row r="163" s="3" customFormat="1" spans="1:14">
      <c r="A163" s="83" t="s">
        <v>155</v>
      </c>
      <c r="B163" s="84">
        <v>2040202</v>
      </c>
      <c r="C163" s="90" t="s">
        <v>157</v>
      </c>
      <c r="D163" s="86">
        <v>37</v>
      </c>
      <c r="E163" s="86"/>
      <c r="F163" s="19"/>
      <c r="G163" s="87">
        <f t="shared" si="35"/>
        <v>0</v>
      </c>
      <c r="H163" s="88"/>
      <c r="I163" s="86">
        <f t="shared" si="36"/>
        <v>0</v>
      </c>
      <c r="J163" s="87">
        <f t="shared" si="37"/>
        <v>0</v>
      </c>
      <c r="K163" s="88">
        <v>37</v>
      </c>
      <c r="L163" s="88">
        <f t="shared" si="38"/>
        <v>0</v>
      </c>
      <c r="M163" s="87">
        <f t="shared" si="39"/>
        <v>0</v>
      </c>
      <c r="N163" s="100"/>
    </row>
    <row r="164" s="3" customFormat="1" spans="1:14">
      <c r="A164" s="83" t="s">
        <v>155</v>
      </c>
      <c r="B164" s="84">
        <v>2040220</v>
      </c>
      <c r="C164" s="90" t="s">
        <v>262</v>
      </c>
      <c r="D164" s="86"/>
      <c r="E164" s="86">
        <v>37</v>
      </c>
      <c r="F164" s="19">
        <v>36</v>
      </c>
      <c r="G164" s="87">
        <f t="shared" si="35"/>
        <v>97.2972972972973</v>
      </c>
      <c r="H164" s="88"/>
      <c r="I164" s="86">
        <f t="shared" si="36"/>
        <v>36</v>
      </c>
      <c r="J164" s="87">
        <f t="shared" si="37"/>
        <v>0</v>
      </c>
      <c r="K164" s="88"/>
      <c r="L164" s="88">
        <f t="shared" si="38"/>
        <v>0</v>
      </c>
      <c r="M164" s="87">
        <f t="shared" si="39"/>
        <v>0</v>
      </c>
      <c r="N164" s="100"/>
    </row>
    <row r="165" s="3" customFormat="1" spans="1:14">
      <c r="A165" s="83" t="s">
        <v>155</v>
      </c>
      <c r="B165" s="84">
        <v>2040299</v>
      </c>
      <c r="C165" s="90" t="s">
        <v>263</v>
      </c>
      <c r="D165" s="86">
        <v>3</v>
      </c>
      <c r="E165" s="86">
        <v>3</v>
      </c>
      <c r="F165" s="19"/>
      <c r="G165" s="87">
        <f t="shared" si="35"/>
        <v>0</v>
      </c>
      <c r="H165" s="88">
        <v>294</v>
      </c>
      <c r="I165" s="86">
        <f t="shared" si="36"/>
        <v>-294</v>
      </c>
      <c r="J165" s="87">
        <f t="shared" si="37"/>
        <v>-100</v>
      </c>
      <c r="K165" s="88">
        <v>2</v>
      </c>
      <c r="L165" s="88">
        <f t="shared" si="38"/>
        <v>-1</v>
      </c>
      <c r="M165" s="87">
        <f t="shared" si="39"/>
        <v>-33.3333333333333</v>
      </c>
      <c r="N165" s="100"/>
    </row>
    <row r="166" s="3" customFormat="1" spans="1:14">
      <c r="A166" s="83" t="s">
        <v>153</v>
      </c>
      <c r="B166" s="84">
        <v>20403</v>
      </c>
      <c r="C166" s="89" t="s">
        <v>264</v>
      </c>
      <c r="D166" s="86">
        <f t="shared" ref="D166:F166" si="50">SUM(D167:D167)</f>
        <v>0</v>
      </c>
      <c r="E166" s="86">
        <f t="shared" si="50"/>
        <v>0</v>
      </c>
      <c r="F166" s="19">
        <f t="shared" si="50"/>
        <v>0</v>
      </c>
      <c r="G166" s="87">
        <f t="shared" si="35"/>
        <v>0</v>
      </c>
      <c r="H166" s="88">
        <f>SUM(H167:H167)</f>
        <v>0</v>
      </c>
      <c r="I166" s="86">
        <f t="shared" si="36"/>
        <v>0</v>
      </c>
      <c r="J166" s="87">
        <f t="shared" si="37"/>
        <v>0</v>
      </c>
      <c r="K166" s="88">
        <f>SUM(K167:K167)</f>
        <v>0</v>
      </c>
      <c r="L166" s="88">
        <f t="shared" si="38"/>
        <v>0</v>
      </c>
      <c r="M166" s="87">
        <f t="shared" si="39"/>
        <v>0</v>
      </c>
      <c r="N166" s="100"/>
    </row>
    <row r="167" s="3" customFormat="1" spans="1:14">
      <c r="A167" s="83" t="s">
        <v>155</v>
      </c>
      <c r="B167" s="84">
        <v>2040399</v>
      </c>
      <c r="C167" s="85" t="s">
        <v>265</v>
      </c>
      <c r="D167" s="86"/>
      <c r="E167" s="86"/>
      <c r="F167" s="19"/>
      <c r="G167" s="87">
        <f t="shared" si="35"/>
        <v>0</v>
      </c>
      <c r="H167" s="88"/>
      <c r="I167" s="86">
        <f t="shared" si="36"/>
        <v>0</v>
      </c>
      <c r="J167" s="87">
        <f t="shared" si="37"/>
        <v>0</v>
      </c>
      <c r="K167" s="88"/>
      <c r="L167" s="88">
        <f t="shared" si="38"/>
        <v>0</v>
      </c>
      <c r="M167" s="87">
        <f t="shared" si="39"/>
        <v>0</v>
      </c>
      <c r="N167" s="100"/>
    </row>
    <row r="168" s="3" customFormat="1" spans="1:14">
      <c r="A168" s="83" t="s">
        <v>153</v>
      </c>
      <c r="B168" s="84">
        <v>20404</v>
      </c>
      <c r="C168" s="91" t="s">
        <v>266</v>
      </c>
      <c r="D168" s="86">
        <f t="shared" ref="D168:F168" si="51">SUM(D169:D173)</f>
        <v>311</v>
      </c>
      <c r="E168" s="86">
        <f t="shared" si="51"/>
        <v>311</v>
      </c>
      <c r="F168" s="19">
        <f t="shared" si="51"/>
        <v>474</v>
      </c>
      <c r="G168" s="87">
        <f t="shared" si="35"/>
        <v>152.411575562701</v>
      </c>
      <c r="H168" s="88">
        <f>SUM(H169:H173)</f>
        <v>494</v>
      </c>
      <c r="I168" s="86">
        <f t="shared" si="36"/>
        <v>-20</v>
      </c>
      <c r="J168" s="87">
        <f t="shared" si="37"/>
        <v>-4.04858299595142</v>
      </c>
      <c r="K168" s="88">
        <f>SUM(K169:K173)</f>
        <v>0</v>
      </c>
      <c r="L168" s="88">
        <f t="shared" si="38"/>
        <v>-311</v>
      </c>
      <c r="M168" s="87">
        <f t="shared" si="39"/>
        <v>-100</v>
      </c>
      <c r="N168" s="100"/>
    </row>
    <row r="169" s="3" customFormat="1" spans="1:14">
      <c r="A169" s="83" t="s">
        <v>155</v>
      </c>
      <c r="B169" s="84">
        <v>2040401</v>
      </c>
      <c r="C169" s="89" t="s">
        <v>156</v>
      </c>
      <c r="D169" s="86">
        <f>63+239</f>
        <v>302</v>
      </c>
      <c r="E169" s="86">
        <f>63+239</f>
        <v>302</v>
      </c>
      <c r="F169" s="19">
        <v>295</v>
      </c>
      <c r="G169" s="87">
        <f t="shared" si="35"/>
        <v>97.682119205298</v>
      </c>
      <c r="H169" s="88">
        <v>373</v>
      </c>
      <c r="I169" s="86">
        <f t="shared" si="36"/>
        <v>-78</v>
      </c>
      <c r="J169" s="87">
        <f t="shared" si="37"/>
        <v>-20.911528150134</v>
      </c>
      <c r="K169" s="88"/>
      <c r="L169" s="88">
        <f t="shared" si="38"/>
        <v>-302</v>
      </c>
      <c r="M169" s="87">
        <f t="shared" si="39"/>
        <v>-100</v>
      </c>
      <c r="N169" s="100"/>
    </row>
    <row r="170" s="3" customFormat="1" spans="1:14">
      <c r="A170" s="83" t="s">
        <v>155</v>
      </c>
      <c r="B170" s="84">
        <v>2040402</v>
      </c>
      <c r="C170" s="89" t="s">
        <v>157</v>
      </c>
      <c r="D170" s="86"/>
      <c r="E170" s="86"/>
      <c r="F170" s="19">
        <v>25</v>
      </c>
      <c r="G170" s="87">
        <f t="shared" si="35"/>
        <v>0</v>
      </c>
      <c r="H170" s="88"/>
      <c r="I170" s="86">
        <f t="shared" si="36"/>
        <v>25</v>
      </c>
      <c r="J170" s="87">
        <f t="shared" si="37"/>
        <v>0</v>
      </c>
      <c r="K170" s="88"/>
      <c r="L170" s="88">
        <f t="shared" si="38"/>
        <v>0</v>
      </c>
      <c r="M170" s="87">
        <f t="shared" si="39"/>
        <v>0</v>
      </c>
      <c r="N170" s="100"/>
    </row>
    <row r="171" s="3" customFormat="1" spans="1:14">
      <c r="A171" s="83" t="s">
        <v>155</v>
      </c>
      <c r="B171" s="84">
        <v>2040409</v>
      </c>
      <c r="C171" s="90" t="s">
        <v>267</v>
      </c>
      <c r="D171" s="86"/>
      <c r="E171" s="86"/>
      <c r="F171" s="19"/>
      <c r="G171" s="87">
        <f t="shared" si="35"/>
        <v>0</v>
      </c>
      <c r="H171" s="88"/>
      <c r="I171" s="86">
        <f t="shared" si="36"/>
        <v>0</v>
      </c>
      <c r="J171" s="87">
        <f t="shared" si="37"/>
        <v>0</v>
      </c>
      <c r="K171" s="88"/>
      <c r="L171" s="88">
        <f t="shared" si="38"/>
        <v>0</v>
      </c>
      <c r="M171" s="87">
        <f t="shared" si="39"/>
        <v>0</v>
      </c>
      <c r="N171" s="100"/>
    </row>
    <row r="172" s="3" customFormat="1" spans="1:14">
      <c r="A172" s="83" t="s">
        <v>155</v>
      </c>
      <c r="B172" s="84">
        <v>2040410</v>
      </c>
      <c r="C172" s="90" t="s">
        <v>268</v>
      </c>
      <c r="D172" s="86"/>
      <c r="E172" s="86"/>
      <c r="F172" s="19"/>
      <c r="G172" s="87">
        <f t="shared" si="35"/>
        <v>0</v>
      </c>
      <c r="H172" s="88"/>
      <c r="I172" s="86">
        <f t="shared" si="36"/>
        <v>0</v>
      </c>
      <c r="J172" s="87">
        <f t="shared" si="37"/>
        <v>0</v>
      </c>
      <c r="K172" s="88"/>
      <c r="L172" s="88">
        <f t="shared" si="38"/>
        <v>0</v>
      </c>
      <c r="M172" s="87">
        <f t="shared" si="39"/>
        <v>0</v>
      </c>
      <c r="N172" s="100"/>
    </row>
    <row r="173" s="3" customFormat="1" spans="1:14">
      <c r="A173" s="83" t="s">
        <v>155</v>
      </c>
      <c r="B173" s="84">
        <v>2040499</v>
      </c>
      <c r="C173" s="90" t="s">
        <v>269</v>
      </c>
      <c r="D173" s="86">
        <v>9</v>
      </c>
      <c r="E173" s="86">
        <v>9</v>
      </c>
      <c r="F173" s="19">
        <v>154</v>
      </c>
      <c r="G173" s="87">
        <f t="shared" si="35"/>
        <v>1711.11111111111</v>
      </c>
      <c r="H173" s="88">
        <v>121</v>
      </c>
      <c r="I173" s="86">
        <f t="shared" si="36"/>
        <v>33</v>
      </c>
      <c r="J173" s="87">
        <f t="shared" si="37"/>
        <v>27.2727272727273</v>
      </c>
      <c r="K173" s="88"/>
      <c r="L173" s="88">
        <f t="shared" si="38"/>
        <v>-9</v>
      </c>
      <c r="M173" s="87">
        <f t="shared" si="39"/>
        <v>-100</v>
      </c>
      <c r="N173" s="100"/>
    </row>
    <row r="174" s="3" customFormat="1" spans="1:14">
      <c r="A174" s="83" t="s">
        <v>153</v>
      </c>
      <c r="B174" s="84">
        <v>20405</v>
      </c>
      <c r="C174" s="85" t="s">
        <v>270</v>
      </c>
      <c r="D174" s="86">
        <f t="shared" ref="D174:F174" si="52">SUM(D175:D180)</f>
        <v>881</v>
      </c>
      <c r="E174" s="86">
        <f t="shared" si="52"/>
        <v>881</v>
      </c>
      <c r="F174" s="19">
        <f t="shared" si="52"/>
        <v>906</v>
      </c>
      <c r="G174" s="87">
        <f t="shared" si="35"/>
        <v>102.837684449489</v>
      </c>
      <c r="H174" s="88">
        <f>SUM(H175:H180)</f>
        <v>1471</v>
      </c>
      <c r="I174" s="86">
        <f t="shared" si="36"/>
        <v>-565</v>
      </c>
      <c r="J174" s="87">
        <f t="shared" si="37"/>
        <v>-38.4092454112848</v>
      </c>
      <c r="K174" s="88">
        <f>SUM(K175:K180)</f>
        <v>511</v>
      </c>
      <c r="L174" s="88">
        <f t="shared" si="38"/>
        <v>-370</v>
      </c>
      <c r="M174" s="87">
        <f t="shared" si="39"/>
        <v>-41.9977298524404</v>
      </c>
      <c r="N174" s="100"/>
    </row>
    <row r="175" s="3" customFormat="1" spans="1:14">
      <c r="A175" s="83" t="s">
        <v>155</v>
      </c>
      <c r="B175" s="84">
        <v>2040501</v>
      </c>
      <c r="C175" s="89" t="s">
        <v>156</v>
      </c>
      <c r="D175" s="86">
        <f>371+487</f>
        <v>858</v>
      </c>
      <c r="E175" s="86">
        <v>561</v>
      </c>
      <c r="F175" s="110">
        <v>561</v>
      </c>
      <c r="G175" s="87">
        <f t="shared" si="35"/>
        <v>100</v>
      </c>
      <c r="H175" s="111">
        <v>870</v>
      </c>
      <c r="I175" s="86">
        <f t="shared" si="36"/>
        <v>-309</v>
      </c>
      <c r="J175" s="87">
        <f t="shared" si="37"/>
        <v>-35.5172413793103</v>
      </c>
      <c r="K175" s="88">
        <v>411</v>
      </c>
      <c r="L175" s="88">
        <f t="shared" si="38"/>
        <v>-447</v>
      </c>
      <c r="M175" s="87">
        <f t="shared" si="39"/>
        <v>-52.0979020979021</v>
      </c>
      <c r="N175" s="100"/>
    </row>
    <row r="176" s="3" customFormat="1" spans="1:14">
      <c r="A176" s="83" t="s">
        <v>155</v>
      </c>
      <c r="B176" s="84">
        <v>2040502</v>
      </c>
      <c r="C176" s="89" t="s">
        <v>157</v>
      </c>
      <c r="D176" s="86"/>
      <c r="E176" s="86">
        <v>42</v>
      </c>
      <c r="F176" s="110">
        <v>42</v>
      </c>
      <c r="G176" s="87">
        <f t="shared" si="35"/>
        <v>100</v>
      </c>
      <c r="H176" s="111"/>
      <c r="I176" s="86">
        <f t="shared" si="36"/>
        <v>42</v>
      </c>
      <c r="J176" s="87">
        <f t="shared" si="37"/>
        <v>0</v>
      </c>
      <c r="K176" s="88"/>
      <c r="L176" s="88">
        <f t="shared" si="38"/>
        <v>0</v>
      </c>
      <c r="M176" s="87">
        <f t="shared" si="39"/>
        <v>0</v>
      </c>
      <c r="N176" s="100"/>
    </row>
    <row r="177" s="3" customFormat="1" spans="1:14">
      <c r="A177" s="83" t="s">
        <v>155</v>
      </c>
      <c r="B177" s="84">
        <v>2040505</v>
      </c>
      <c r="C177" s="90" t="s">
        <v>271</v>
      </c>
      <c r="D177" s="86"/>
      <c r="E177" s="86"/>
      <c r="F177" s="110"/>
      <c r="G177" s="87">
        <f t="shared" si="35"/>
        <v>0</v>
      </c>
      <c r="H177" s="111"/>
      <c r="I177" s="86">
        <f t="shared" si="36"/>
        <v>0</v>
      </c>
      <c r="J177" s="87">
        <f t="shared" si="37"/>
        <v>0</v>
      </c>
      <c r="K177" s="88"/>
      <c r="L177" s="88">
        <f t="shared" si="38"/>
        <v>0</v>
      </c>
      <c r="M177" s="87">
        <f t="shared" si="39"/>
        <v>0</v>
      </c>
      <c r="N177" s="100"/>
    </row>
    <row r="178" s="3" customFormat="1" spans="1:14">
      <c r="A178" s="83" t="s">
        <v>155</v>
      </c>
      <c r="B178" s="84">
        <v>2040506</v>
      </c>
      <c r="C178" s="90" t="s">
        <v>272</v>
      </c>
      <c r="D178" s="86"/>
      <c r="E178" s="86"/>
      <c r="F178" s="110"/>
      <c r="G178" s="87">
        <f t="shared" si="35"/>
        <v>0</v>
      </c>
      <c r="H178" s="111">
        <v>140</v>
      </c>
      <c r="I178" s="86">
        <f t="shared" si="36"/>
        <v>-140</v>
      </c>
      <c r="J178" s="87">
        <f t="shared" si="37"/>
        <v>-100</v>
      </c>
      <c r="K178" s="88"/>
      <c r="L178" s="88">
        <f t="shared" si="38"/>
        <v>0</v>
      </c>
      <c r="M178" s="87">
        <f t="shared" si="39"/>
        <v>0</v>
      </c>
      <c r="N178" s="100"/>
    </row>
    <row r="179" s="3" customFormat="1" spans="1:14">
      <c r="A179" s="83" t="s">
        <v>155</v>
      </c>
      <c r="B179" s="84">
        <v>2040550</v>
      </c>
      <c r="C179" s="89" t="s">
        <v>172</v>
      </c>
      <c r="D179" s="86"/>
      <c r="E179" s="86"/>
      <c r="F179" s="110"/>
      <c r="G179" s="87">
        <f t="shared" si="35"/>
        <v>0</v>
      </c>
      <c r="H179" s="111"/>
      <c r="I179" s="86">
        <f t="shared" si="36"/>
        <v>0</v>
      </c>
      <c r="J179" s="87">
        <f t="shared" si="37"/>
        <v>0</v>
      </c>
      <c r="K179" s="88"/>
      <c r="L179" s="88">
        <f t="shared" si="38"/>
        <v>0</v>
      </c>
      <c r="M179" s="87">
        <f t="shared" si="39"/>
        <v>0</v>
      </c>
      <c r="N179" s="100"/>
    </row>
    <row r="180" s="3" customFormat="1" spans="1:14">
      <c r="A180" s="83" t="s">
        <v>155</v>
      </c>
      <c r="B180" s="84">
        <v>2040599</v>
      </c>
      <c r="C180" s="89" t="s">
        <v>273</v>
      </c>
      <c r="D180" s="86">
        <f>2+21</f>
        <v>23</v>
      </c>
      <c r="E180" s="86">
        <f>2+21+255</f>
        <v>278</v>
      </c>
      <c r="F180" s="110">
        <v>303</v>
      </c>
      <c r="G180" s="87">
        <f t="shared" si="35"/>
        <v>108.992805755396</v>
      </c>
      <c r="H180" s="111">
        <v>461</v>
      </c>
      <c r="I180" s="86">
        <f t="shared" si="36"/>
        <v>-158</v>
      </c>
      <c r="J180" s="87">
        <f t="shared" si="37"/>
        <v>-34.2733188720174</v>
      </c>
      <c r="K180" s="88">
        <v>100</v>
      </c>
      <c r="L180" s="88">
        <f t="shared" si="38"/>
        <v>77</v>
      </c>
      <c r="M180" s="87">
        <f t="shared" si="39"/>
        <v>334.782608695652</v>
      </c>
      <c r="N180" s="100"/>
    </row>
    <row r="181" s="3" customFormat="1" spans="1:14">
      <c r="A181" s="83" t="s">
        <v>153</v>
      </c>
      <c r="B181" s="84">
        <v>20406</v>
      </c>
      <c r="C181" s="89" t="s">
        <v>274</v>
      </c>
      <c r="D181" s="86">
        <f t="shared" ref="D181:F181" si="53">SUM(D182:D189)</f>
        <v>224</v>
      </c>
      <c r="E181" s="86">
        <f t="shared" si="53"/>
        <v>224</v>
      </c>
      <c r="F181" s="19">
        <f t="shared" si="53"/>
        <v>198</v>
      </c>
      <c r="G181" s="87">
        <f t="shared" si="35"/>
        <v>88.3928571428571</v>
      </c>
      <c r="H181" s="88">
        <f>SUM(H182:H189)</f>
        <v>189</v>
      </c>
      <c r="I181" s="86">
        <f t="shared" si="36"/>
        <v>9</v>
      </c>
      <c r="J181" s="87">
        <f t="shared" si="37"/>
        <v>4.76190476190476</v>
      </c>
      <c r="K181" s="88">
        <f>SUM(K182:K189)</f>
        <v>78</v>
      </c>
      <c r="L181" s="88">
        <f t="shared" si="38"/>
        <v>-146</v>
      </c>
      <c r="M181" s="87">
        <f t="shared" si="39"/>
        <v>-65.1785714285714</v>
      </c>
      <c r="N181" s="100"/>
    </row>
    <row r="182" s="3" customFormat="1" spans="1:14">
      <c r="A182" s="83" t="s">
        <v>155</v>
      </c>
      <c r="B182" s="84">
        <v>2040601</v>
      </c>
      <c r="C182" s="90" t="s">
        <v>156</v>
      </c>
      <c r="D182" s="86">
        <f>85+129</f>
        <v>214</v>
      </c>
      <c r="E182" s="86">
        <f>85+129</f>
        <v>214</v>
      </c>
      <c r="F182" s="110">
        <v>111</v>
      </c>
      <c r="G182" s="87">
        <f t="shared" si="35"/>
        <v>51.8691588785047</v>
      </c>
      <c r="H182" s="111">
        <v>101</v>
      </c>
      <c r="I182" s="86">
        <f t="shared" si="36"/>
        <v>10</v>
      </c>
      <c r="J182" s="87">
        <f t="shared" si="37"/>
        <v>9.9009900990099</v>
      </c>
      <c r="K182" s="88">
        <v>78</v>
      </c>
      <c r="L182" s="88">
        <f t="shared" si="38"/>
        <v>-136</v>
      </c>
      <c r="M182" s="87">
        <f t="shared" si="39"/>
        <v>-63.5514018691589</v>
      </c>
      <c r="N182" s="100"/>
    </row>
    <row r="183" s="3" customFormat="1" hidden="1" spans="1:14">
      <c r="A183" s="83" t="s">
        <v>155</v>
      </c>
      <c r="B183" s="84">
        <v>2040602</v>
      </c>
      <c r="C183" s="90" t="s">
        <v>157</v>
      </c>
      <c r="D183" s="86"/>
      <c r="E183" s="86"/>
      <c r="F183" s="110"/>
      <c r="G183" s="87">
        <f t="shared" si="35"/>
        <v>0</v>
      </c>
      <c r="H183" s="111"/>
      <c r="I183" s="86">
        <f t="shared" si="36"/>
        <v>0</v>
      </c>
      <c r="J183" s="87">
        <f t="shared" si="37"/>
        <v>0</v>
      </c>
      <c r="K183" s="88"/>
      <c r="L183" s="88">
        <f t="shared" si="38"/>
        <v>0</v>
      </c>
      <c r="M183" s="87">
        <f t="shared" si="39"/>
        <v>0</v>
      </c>
      <c r="N183" s="100"/>
    </row>
    <row r="184" s="3" customFormat="1" hidden="1" spans="1:14">
      <c r="A184" s="83" t="s">
        <v>155</v>
      </c>
      <c r="B184" s="84">
        <v>2040604</v>
      </c>
      <c r="C184" s="85" t="s">
        <v>275</v>
      </c>
      <c r="D184" s="86"/>
      <c r="E184" s="86"/>
      <c r="F184" s="110"/>
      <c r="G184" s="87">
        <f t="shared" si="35"/>
        <v>0</v>
      </c>
      <c r="H184" s="111"/>
      <c r="I184" s="86">
        <f t="shared" si="36"/>
        <v>0</v>
      </c>
      <c r="J184" s="87">
        <f t="shared" si="37"/>
        <v>0</v>
      </c>
      <c r="K184" s="88"/>
      <c r="L184" s="88">
        <f t="shared" si="38"/>
        <v>0</v>
      </c>
      <c r="M184" s="87">
        <f t="shared" si="39"/>
        <v>0</v>
      </c>
      <c r="N184" s="100"/>
    </row>
    <row r="185" s="3" customFormat="1" hidden="1" spans="1:14">
      <c r="A185" s="83" t="s">
        <v>155</v>
      </c>
      <c r="B185" s="84">
        <v>2040605</v>
      </c>
      <c r="C185" s="89" t="s">
        <v>276</v>
      </c>
      <c r="D185" s="86"/>
      <c r="E185" s="86"/>
      <c r="F185" s="110"/>
      <c r="G185" s="87">
        <f t="shared" si="35"/>
        <v>0</v>
      </c>
      <c r="H185" s="111"/>
      <c r="I185" s="86">
        <f t="shared" si="36"/>
        <v>0</v>
      </c>
      <c r="J185" s="87">
        <f t="shared" si="37"/>
        <v>0</v>
      </c>
      <c r="K185" s="88"/>
      <c r="L185" s="88">
        <f t="shared" si="38"/>
        <v>0</v>
      </c>
      <c r="M185" s="87">
        <f t="shared" si="39"/>
        <v>0</v>
      </c>
      <c r="N185" s="100"/>
    </row>
    <row r="186" s="3" customFormat="1" spans="1:14">
      <c r="A186" s="83" t="s">
        <v>155</v>
      </c>
      <c r="B186" s="84">
        <v>2040607</v>
      </c>
      <c r="C186" s="91" t="s">
        <v>277</v>
      </c>
      <c r="D186" s="86"/>
      <c r="E186" s="86"/>
      <c r="F186" s="110">
        <v>6</v>
      </c>
      <c r="G186" s="87">
        <f t="shared" si="35"/>
        <v>0</v>
      </c>
      <c r="H186" s="111"/>
      <c r="I186" s="86">
        <f t="shared" si="36"/>
        <v>6</v>
      </c>
      <c r="J186" s="87">
        <f t="shared" si="37"/>
        <v>0</v>
      </c>
      <c r="K186" s="88"/>
      <c r="L186" s="88">
        <f t="shared" si="38"/>
        <v>0</v>
      </c>
      <c r="M186" s="87">
        <f t="shared" si="39"/>
        <v>0</v>
      </c>
      <c r="N186" s="100"/>
    </row>
    <row r="187" s="3" customFormat="1" spans="1:14">
      <c r="A187" s="83" t="s">
        <v>155</v>
      </c>
      <c r="B187" s="84">
        <v>2040610</v>
      </c>
      <c r="C187" s="91" t="s">
        <v>278</v>
      </c>
      <c r="D187" s="86"/>
      <c r="E187" s="86"/>
      <c r="F187" s="110">
        <v>1</v>
      </c>
      <c r="G187" s="87">
        <f t="shared" si="35"/>
        <v>0</v>
      </c>
      <c r="H187" s="111">
        <v>15</v>
      </c>
      <c r="I187" s="86">
        <f t="shared" si="36"/>
        <v>-14</v>
      </c>
      <c r="J187" s="87">
        <f t="shared" si="37"/>
        <v>-93.3333333333333</v>
      </c>
      <c r="K187" s="88"/>
      <c r="L187" s="88">
        <f t="shared" si="38"/>
        <v>0</v>
      </c>
      <c r="M187" s="87">
        <f t="shared" si="39"/>
        <v>0</v>
      </c>
      <c r="N187" s="100"/>
    </row>
    <row r="188" s="3" customFormat="1" spans="1:14">
      <c r="A188" s="83" t="s">
        <v>155</v>
      </c>
      <c r="B188" s="84">
        <v>2040612</v>
      </c>
      <c r="C188" s="90" t="s">
        <v>279</v>
      </c>
      <c r="D188" s="86"/>
      <c r="E188" s="86"/>
      <c r="F188" s="110">
        <v>2</v>
      </c>
      <c r="G188" s="87">
        <f t="shared" si="35"/>
        <v>0</v>
      </c>
      <c r="H188" s="111">
        <v>4</v>
      </c>
      <c r="I188" s="86">
        <f t="shared" si="36"/>
        <v>-2</v>
      </c>
      <c r="J188" s="87">
        <f t="shared" si="37"/>
        <v>-50</v>
      </c>
      <c r="K188" s="88"/>
      <c r="L188" s="88">
        <f t="shared" si="38"/>
        <v>0</v>
      </c>
      <c r="M188" s="87">
        <f t="shared" si="39"/>
        <v>0</v>
      </c>
      <c r="N188" s="100"/>
    </row>
    <row r="189" s="3" customFormat="1" spans="1:14">
      <c r="A189" s="83" t="s">
        <v>155</v>
      </c>
      <c r="B189" s="84">
        <v>2040699</v>
      </c>
      <c r="C189" s="89" t="s">
        <v>280</v>
      </c>
      <c r="D189" s="86">
        <v>10</v>
      </c>
      <c r="E189" s="86">
        <v>10</v>
      </c>
      <c r="F189" s="110">
        <v>78</v>
      </c>
      <c r="G189" s="87">
        <f t="shared" si="35"/>
        <v>780</v>
      </c>
      <c r="H189" s="111">
        <v>69</v>
      </c>
      <c r="I189" s="86">
        <f t="shared" si="36"/>
        <v>9</v>
      </c>
      <c r="J189" s="87">
        <f t="shared" si="37"/>
        <v>13.0434782608696</v>
      </c>
      <c r="K189" s="88"/>
      <c r="L189" s="88">
        <f t="shared" si="38"/>
        <v>-10</v>
      </c>
      <c r="M189" s="87">
        <f t="shared" si="39"/>
        <v>-100</v>
      </c>
      <c r="N189" s="100"/>
    </row>
    <row r="190" s="3" customFormat="1" spans="1:14">
      <c r="A190" s="83" t="s">
        <v>153</v>
      </c>
      <c r="B190" s="84">
        <v>20407</v>
      </c>
      <c r="C190" s="91" t="s">
        <v>281</v>
      </c>
      <c r="D190" s="86">
        <f t="shared" ref="D190:F190" si="54">SUM(D191:D191)</f>
        <v>0</v>
      </c>
      <c r="E190" s="86">
        <f t="shared" si="54"/>
        <v>0</v>
      </c>
      <c r="F190" s="19">
        <f t="shared" si="54"/>
        <v>0</v>
      </c>
      <c r="G190" s="87">
        <f t="shared" si="35"/>
        <v>0</v>
      </c>
      <c r="H190" s="88">
        <f t="shared" ref="H190:H194" si="55">SUM(H191:H191)</f>
        <v>0</v>
      </c>
      <c r="I190" s="86">
        <f t="shared" si="36"/>
        <v>0</v>
      </c>
      <c r="J190" s="87">
        <f t="shared" si="37"/>
        <v>0</v>
      </c>
      <c r="K190" s="88">
        <f t="shared" ref="K190:K194" si="56">SUM(K191:K191)</f>
        <v>0</v>
      </c>
      <c r="L190" s="88">
        <f t="shared" si="38"/>
        <v>0</v>
      </c>
      <c r="M190" s="87">
        <f t="shared" si="39"/>
        <v>0</v>
      </c>
      <c r="N190" s="100"/>
    </row>
    <row r="191" s="3" customFormat="1" hidden="1" spans="1:14">
      <c r="A191" s="83" t="s">
        <v>155</v>
      </c>
      <c r="B191" s="84">
        <v>2040799</v>
      </c>
      <c r="C191" s="89" t="s">
        <v>282</v>
      </c>
      <c r="D191" s="86"/>
      <c r="E191" s="86"/>
      <c r="F191" s="19"/>
      <c r="G191" s="87">
        <f t="shared" si="35"/>
        <v>0</v>
      </c>
      <c r="H191" s="88"/>
      <c r="I191" s="86">
        <f t="shared" si="36"/>
        <v>0</v>
      </c>
      <c r="J191" s="87">
        <f t="shared" si="37"/>
        <v>0</v>
      </c>
      <c r="K191" s="88"/>
      <c r="L191" s="88">
        <f t="shared" si="38"/>
        <v>0</v>
      </c>
      <c r="M191" s="87">
        <f t="shared" si="39"/>
        <v>0</v>
      </c>
      <c r="N191" s="100"/>
    </row>
    <row r="192" s="3" customFormat="1" spans="1:14">
      <c r="A192" s="83" t="s">
        <v>153</v>
      </c>
      <c r="B192" s="84">
        <v>20408</v>
      </c>
      <c r="C192" s="90" t="s">
        <v>283</v>
      </c>
      <c r="D192" s="86">
        <f t="shared" ref="D192:F192" si="57">SUM(D193:D193)</f>
        <v>48</v>
      </c>
      <c r="E192" s="86">
        <f t="shared" si="57"/>
        <v>48</v>
      </c>
      <c r="F192" s="19">
        <f t="shared" si="57"/>
        <v>0</v>
      </c>
      <c r="G192" s="87">
        <f t="shared" si="35"/>
        <v>0</v>
      </c>
      <c r="H192" s="88">
        <f t="shared" si="55"/>
        <v>0</v>
      </c>
      <c r="I192" s="86">
        <f t="shared" si="36"/>
        <v>0</v>
      </c>
      <c r="J192" s="87">
        <f t="shared" si="37"/>
        <v>0</v>
      </c>
      <c r="K192" s="88">
        <f t="shared" si="56"/>
        <v>0</v>
      </c>
      <c r="L192" s="88">
        <f t="shared" si="38"/>
        <v>-48</v>
      </c>
      <c r="M192" s="87">
        <f t="shared" si="39"/>
        <v>-100</v>
      </c>
      <c r="N192" s="100"/>
    </row>
    <row r="193" s="3" customFormat="1" spans="1:14">
      <c r="A193" s="83" t="s">
        <v>155</v>
      </c>
      <c r="B193" s="84">
        <v>2040899</v>
      </c>
      <c r="C193" s="90" t="s">
        <v>284</v>
      </c>
      <c r="D193" s="86">
        <v>48</v>
      </c>
      <c r="E193" s="86">
        <v>48</v>
      </c>
      <c r="F193" s="19"/>
      <c r="G193" s="87">
        <f t="shared" si="35"/>
        <v>0</v>
      </c>
      <c r="H193" s="88"/>
      <c r="I193" s="86">
        <f t="shared" si="36"/>
        <v>0</v>
      </c>
      <c r="J193" s="87">
        <f t="shared" si="37"/>
        <v>0</v>
      </c>
      <c r="K193" s="88"/>
      <c r="L193" s="88">
        <f t="shared" si="38"/>
        <v>-48</v>
      </c>
      <c r="M193" s="87">
        <f t="shared" si="39"/>
        <v>-100</v>
      </c>
      <c r="N193" s="100"/>
    </row>
    <row r="194" s="3" customFormat="1" spans="1:14">
      <c r="A194" s="83" t="s">
        <v>153</v>
      </c>
      <c r="B194" s="84">
        <v>20409</v>
      </c>
      <c r="C194" s="85" t="s">
        <v>285</v>
      </c>
      <c r="D194" s="86">
        <f t="shared" ref="D194:F194" si="58">SUM(D195:D195)</f>
        <v>0</v>
      </c>
      <c r="E194" s="86">
        <f t="shared" si="58"/>
        <v>0</v>
      </c>
      <c r="F194" s="19">
        <f t="shared" si="58"/>
        <v>0</v>
      </c>
      <c r="G194" s="87">
        <f t="shared" si="35"/>
        <v>0</v>
      </c>
      <c r="H194" s="88">
        <f t="shared" si="55"/>
        <v>0</v>
      </c>
      <c r="I194" s="86">
        <f t="shared" si="36"/>
        <v>0</v>
      </c>
      <c r="J194" s="87">
        <f t="shared" si="37"/>
        <v>0</v>
      </c>
      <c r="K194" s="88">
        <f t="shared" si="56"/>
        <v>0</v>
      </c>
      <c r="L194" s="88">
        <f t="shared" si="38"/>
        <v>0</v>
      </c>
      <c r="M194" s="87">
        <f t="shared" si="39"/>
        <v>0</v>
      </c>
      <c r="N194" s="100"/>
    </row>
    <row r="195" s="3" customFormat="1" hidden="1" spans="1:14">
      <c r="A195" s="83" t="s">
        <v>155</v>
      </c>
      <c r="B195" s="84">
        <v>2040999</v>
      </c>
      <c r="C195" s="89" t="s">
        <v>286</v>
      </c>
      <c r="D195" s="86"/>
      <c r="E195" s="86"/>
      <c r="F195" s="19"/>
      <c r="G195" s="87">
        <f t="shared" si="35"/>
        <v>0</v>
      </c>
      <c r="H195" s="88"/>
      <c r="I195" s="86">
        <f t="shared" si="36"/>
        <v>0</v>
      </c>
      <c r="J195" s="87">
        <f t="shared" si="37"/>
        <v>0</v>
      </c>
      <c r="K195" s="88"/>
      <c r="L195" s="88">
        <f t="shared" si="38"/>
        <v>0</v>
      </c>
      <c r="M195" s="87">
        <f t="shared" si="39"/>
        <v>0</v>
      </c>
      <c r="N195" s="100"/>
    </row>
    <row r="196" s="3" customFormat="1" spans="1:14">
      <c r="A196" s="83" t="s">
        <v>153</v>
      </c>
      <c r="B196" s="84">
        <v>20410</v>
      </c>
      <c r="C196" s="89" t="s">
        <v>287</v>
      </c>
      <c r="D196" s="86">
        <f t="shared" ref="D196:F196" si="59">SUM(D197:D197)</f>
        <v>0</v>
      </c>
      <c r="E196" s="86">
        <f t="shared" si="59"/>
        <v>0</v>
      </c>
      <c r="F196" s="19">
        <f t="shared" si="59"/>
        <v>0</v>
      </c>
      <c r="G196" s="87">
        <f t="shared" si="35"/>
        <v>0</v>
      </c>
      <c r="H196" s="88">
        <f>SUM(H197:H197)</f>
        <v>0</v>
      </c>
      <c r="I196" s="86">
        <f t="shared" si="36"/>
        <v>0</v>
      </c>
      <c r="J196" s="87">
        <f t="shared" si="37"/>
        <v>0</v>
      </c>
      <c r="K196" s="88">
        <f>SUM(K197:K197)</f>
        <v>0</v>
      </c>
      <c r="L196" s="88">
        <f t="shared" si="38"/>
        <v>0</v>
      </c>
      <c r="M196" s="87">
        <f t="shared" si="39"/>
        <v>0</v>
      </c>
      <c r="N196" s="100"/>
    </row>
    <row r="197" s="3" customFormat="1" hidden="1" spans="1:14">
      <c r="A197" s="83" t="s">
        <v>155</v>
      </c>
      <c r="B197" s="84">
        <v>2041099</v>
      </c>
      <c r="C197" s="89" t="s">
        <v>288</v>
      </c>
      <c r="D197" s="86"/>
      <c r="E197" s="86"/>
      <c r="F197" s="19"/>
      <c r="G197" s="87">
        <f t="shared" si="35"/>
        <v>0</v>
      </c>
      <c r="H197" s="88"/>
      <c r="I197" s="86">
        <f t="shared" si="36"/>
        <v>0</v>
      </c>
      <c r="J197" s="87">
        <f t="shared" si="37"/>
        <v>0</v>
      </c>
      <c r="K197" s="88"/>
      <c r="L197" s="88">
        <f t="shared" si="38"/>
        <v>0</v>
      </c>
      <c r="M197" s="87">
        <f t="shared" si="39"/>
        <v>0</v>
      </c>
      <c r="N197" s="100"/>
    </row>
    <row r="198" s="3" customFormat="1" spans="1:14">
      <c r="A198" s="83" t="s">
        <v>153</v>
      </c>
      <c r="B198" s="84">
        <v>20499</v>
      </c>
      <c r="C198" s="89" t="s">
        <v>289</v>
      </c>
      <c r="D198" s="86">
        <f t="shared" ref="D198:F198" si="60">SUM(D199:D199)</f>
        <v>33</v>
      </c>
      <c r="E198" s="86">
        <f t="shared" si="60"/>
        <v>33</v>
      </c>
      <c r="F198" s="19">
        <f t="shared" si="60"/>
        <v>7</v>
      </c>
      <c r="G198" s="87">
        <f t="shared" si="35"/>
        <v>21.2121212121212</v>
      </c>
      <c r="H198" s="88">
        <f>SUM(H199:H199)</f>
        <v>6</v>
      </c>
      <c r="I198" s="86">
        <f t="shared" si="36"/>
        <v>1</v>
      </c>
      <c r="J198" s="87">
        <f t="shared" si="37"/>
        <v>16.6666666666667</v>
      </c>
      <c r="K198" s="88">
        <f>SUM(K199:K199)</f>
        <v>0</v>
      </c>
      <c r="L198" s="88">
        <f t="shared" si="38"/>
        <v>-33</v>
      </c>
      <c r="M198" s="87">
        <f t="shared" si="39"/>
        <v>-100</v>
      </c>
      <c r="N198" s="100"/>
    </row>
    <row r="199" s="3" customFormat="1" spans="1:14">
      <c r="A199" s="83" t="s">
        <v>155</v>
      </c>
      <c r="B199" s="84">
        <v>2049999</v>
      </c>
      <c r="C199" s="89" t="s">
        <v>290</v>
      </c>
      <c r="D199" s="86">
        <v>33</v>
      </c>
      <c r="E199" s="86">
        <v>33</v>
      </c>
      <c r="F199" s="19">
        <v>7</v>
      </c>
      <c r="G199" s="87">
        <f t="shared" ref="G199:G262" si="61">IF(E199=0,,F199/E199*100)</f>
        <v>21.2121212121212</v>
      </c>
      <c r="H199" s="88">
        <v>6</v>
      </c>
      <c r="I199" s="86">
        <f t="shared" ref="I199:I262" si="62">F199-H199</f>
        <v>1</v>
      </c>
      <c r="J199" s="87">
        <f t="shared" ref="J199:J262" si="63">IF(H199=0,,I199/H199*100)</f>
        <v>16.6666666666667</v>
      </c>
      <c r="K199" s="88"/>
      <c r="L199" s="88">
        <f t="shared" ref="L199:L262" si="64">K199-D199</f>
        <v>-33</v>
      </c>
      <c r="M199" s="87">
        <f t="shared" ref="M199:M262" si="65">IF(D199=0,,L199/D199*100)</f>
        <v>-100</v>
      </c>
      <c r="N199" s="100"/>
    </row>
    <row r="200" s="3" customFormat="1" spans="1:14">
      <c r="A200" s="83" t="s">
        <v>151</v>
      </c>
      <c r="B200" s="84">
        <v>205</v>
      </c>
      <c r="C200" s="85" t="s">
        <v>291</v>
      </c>
      <c r="D200" s="86">
        <f t="shared" ref="D200:F200" si="66">SUM(D201,D205,D212,D214,D216,D218,D220,D222,D224,D229)</f>
        <v>5592</v>
      </c>
      <c r="E200" s="86">
        <f t="shared" si="66"/>
        <v>5592</v>
      </c>
      <c r="F200" s="86">
        <f t="shared" si="66"/>
        <v>9097</v>
      </c>
      <c r="G200" s="87">
        <f t="shared" si="61"/>
        <v>162.678826895565</v>
      </c>
      <c r="H200" s="88">
        <f>SUM(H201,H205,H212,H214,H216,H218,H220,H222,H224,H229)</f>
        <v>8602</v>
      </c>
      <c r="I200" s="86">
        <f t="shared" si="62"/>
        <v>495</v>
      </c>
      <c r="J200" s="87">
        <f t="shared" si="63"/>
        <v>5.75447570332481</v>
      </c>
      <c r="K200" s="88">
        <f>SUM(K201,K205,K212,K214,K216,K218,K220,K222,K224,K229)</f>
        <v>7745</v>
      </c>
      <c r="L200" s="88">
        <f t="shared" si="64"/>
        <v>2153</v>
      </c>
      <c r="M200" s="87">
        <f t="shared" si="65"/>
        <v>38.5014306151645</v>
      </c>
      <c r="N200" s="100"/>
    </row>
    <row r="201" s="3" customFormat="1" spans="1:14">
      <c r="A201" s="83" t="s">
        <v>153</v>
      </c>
      <c r="B201" s="84">
        <v>20501</v>
      </c>
      <c r="C201" s="90" t="s">
        <v>292</v>
      </c>
      <c r="D201" s="86">
        <f t="shared" ref="D201:F201" si="67">SUM(D202:D204)</f>
        <v>292</v>
      </c>
      <c r="E201" s="86">
        <f t="shared" si="67"/>
        <v>292</v>
      </c>
      <c r="F201" s="19">
        <f t="shared" si="67"/>
        <v>331</v>
      </c>
      <c r="G201" s="87">
        <f t="shared" si="61"/>
        <v>113.356164383562</v>
      </c>
      <c r="H201" s="88">
        <f>SUM(H202:H204)</f>
        <v>2260</v>
      </c>
      <c r="I201" s="86">
        <f t="shared" si="62"/>
        <v>-1929</v>
      </c>
      <c r="J201" s="87">
        <f t="shared" si="63"/>
        <v>-85.353982300885</v>
      </c>
      <c r="K201" s="88">
        <f>SUM(K202:K204)</f>
        <v>169</v>
      </c>
      <c r="L201" s="88">
        <f t="shared" si="64"/>
        <v>-123</v>
      </c>
      <c r="M201" s="87">
        <f t="shared" si="65"/>
        <v>-42.1232876712329</v>
      </c>
      <c r="N201" s="100"/>
    </row>
    <row r="202" s="3" customFormat="1" spans="1:14">
      <c r="A202" s="83" t="s">
        <v>155</v>
      </c>
      <c r="B202" s="84">
        <v>2050101</v>
      </c>
      <c r="C202" s="89" t="s">
        <v>156</v>
      </c>
      <c r="D202" s="86">
        <f>102+38</f>
        <v>140</v>
      </c>
      <c r="E202" s="86">
        <v>70</v>
      </c>
      <c r="F202" s="110">
        <v>79</v>
      </c>
      <c r="G202" s="87">
        <f t="shared" si="61"/>
        <v>112.857142857143</v>
      </c>
      <c r="H202" s="111">
        <v>2089</v>
      </c>
      <c r="I202" s="86">
        <f t="shared" si="62"/>
        <v>-2010</v>
      </c>
      <c r="J202" s="87">
        <f t="shared" si="63"/>
        <v>-96.2182862613691</v>
      </c>
      <c r="K202" s="88">
        <v>169</v>
      </c>
      <c r="L202" s="88">
        <f t="shared" si="64"/>
        <v>29</v>
      </c>
      <c r="M202" s="87">
        <f t="shared" si="65"/>
        <v>20.7142857142857</v>
      </c>
      <c r="N202" s="100"/>
    </row>
    <row r="203" s="3" customFormat="1" spans="1:14">
      <c r="A203" s="83" t="s">
        <v>155</v>
      </c>
      <c r="B203" s="84">
        <v>2050102</v>
      </c>
      <c r="C203" s="89" t="s">
        <v>157</v>
      </c>
      <c r="D203" s="86">
        <v>152</v>
      </c>
      <c r="E203" s="86">
        <v>152</v>
      </c>
      <c r="F203" s="110">
        <v>181</v>
      </c>
      <c r="G203" s="87">
        <f t="shared" si="61"/>
        <v>119.078947368421</v>
      </c>
      <c r="H203" s="111">
        <v>150</v>
      </c>
      <c r="I203" s="86">
        <f t="shared" si="62"/>
        <v>31</v>
      </c>
      <c r="J203" s="87">
        <f t="shared" si="63"/>
        <v>20.6666666666667</v>
      </c>
      <c r="K203" s="88"/>
      <c r="L203" s="88">
        <f t="shared" si="64"/>
        <v>-152</v>
      </c>
      <c r="M203" s="87">
        <f t="shared" si="65"/>
        <v>-100</v>
      </c>
      <c r="N203" s="100"/>
    </row>
    <row r="204" s="3" customFormat="1" spans="1:14">
      <c r="A204" s="83" t="s">
        <v>155</v>
      </c>
      <c r="B204" s="84">
        <v>2050199</v>
      </c>
      <c r="C204" s="101" t="s">
        <v>293</v>
      </c>
      <c r="D204" s="86"/>
      <c r="E204" s="86">
        <v>70</v>
      </c>
      <c r="F204" s="19">
        <v>71</v>
      </c>
      <c r="G204" s="87">
        <f t="shared" si="61"/>
        <v>101.428571428571</v>
      </c>
      <c r="H204" s="88">
        <v>21</v>
      </c>
      <c r="I204" s="86">
        <f t="shared" si="62"/>
        <v>50</v>
      </c>
      <c r="J204" s="87">
        <f t="shared" si="63"/>
        <v>238.095238095238</v>
      </c>
      <c r="K204" s="88"/>
      <c r="L204" s="88">
        <f t="shared" si="64"/>
        <v>0</v>
      </c>
      <c r="M204" s="87">
        <f t="shared" si="65"/>
        <v>0</v>
      </c>
      <c r="N204" s="100"/>
    </row>
    <row r="205" s="3" customFormat="1" spans="1:14">
      <c r="A205" s="83" t="s">
        <v>153</v>
      </c>
      <c r="B205" s="84">
        <v>20502</v>
      </c>
      <c r="C205" s="89" t="s">
        <v>294</v>
      </c>
      <c r="D205" s="86">
        <f t="shared" ref="D205:F205" si="68">SUM(D206:D211)</f>
        <v>5297</v>
      </c>
      <c r="E205" s="86">
        <f t="shared" si="68"/>
        <v>5297</v>
      </c>
      <c r="F205" s="19">
        <f t="shared" si="68"/>
        <v>7972</v>
      </c>
      <c r="G205" s="87">
        <f t="shared" si="61"/>
        <v>150.500283179158</v>
      </c>
      <c r="H205" s="88">
        <f>SUM(H206:H211)</f>
        <v>5656</v>
      </c>
      <c r="I205" s="86">
        <f t="shared" si="62"/>
        <v>2316</v>
      </c>
      <c r="J205" s="87">
        <f t="shared" si="63"/>
        <v>40.9476661951909</v>
      </c>
      <c r="K205" s="88">
        <f>SUM(K206:K211)</f>
        <v>7576</v>
      </c>
      <c r="L205" s="88">
        <f t="shared" si="64"/>
        <v>2279</v>
      </c>
      <c r="M205" s="87">
        <f t="shared" si="65"/>
        <v>43.0243534075892</v>
      </c>
      <c r="N205" s="100"/>
    </row>
    <row r="206" s="3" customFormat="1" spans="1:14">
      <c r="A206" s="83" t="s">
        <v>155</v>
      </c>
      <c r="B206" s="84">
        <v>2050201</v>
      </c>
      <c r="C206" s="89" t="s">
        <v>295</v>
      </c>
      <c r="D206" s="86">
        <v>45</v>
      </c>
      <c r="E206" s="86">
        <v>45</v>
      </c>
      <c r="F206" s="110">
        <v>851</v>
      </c>
      <c r="G206" s="87">
        <f t="shared" si="61"/>
        <v>1891.11111111111</v>
      </c>
      <c r="H206" s="111">
        <v>12</v>
      </c>
      <c r="I206" s="86">
        <f t="shared" si="62"/>
        <v>839</v>
      </c>
      <c r="J206" s="87">
        <f t="shared" si="63"/>
        <v>6991.66666666667</v>
      </c>
      <c r="K206" s="88">
        <f>161+259</f>
        <v>420</v>
      </c>
      <c r="L206" s="88">
        <f t="shared" si="64"/>
        <v>375</v>
      </c>
      <c r="M206" s="87">
        <f t="shared" si="65"/>
        <v>833.333333333333</v>
      </c>
      <c r="N206" s="100"/>
    </row>
    <row r="207" s="3" customFormat="1" spans="1:14">
      <c r="A207" s="83" t="s">
        <v>155</v>
      </c>
      <c r="B207" s="84">
        <v>2050202</v>
      </c>
      <c r="C207" s="89" t="s">
        <v>296</v>
      </c>
      <c r="D207" s="86">
        <v>3249</v>
      </c>
      <c r="E207" s="86">
        <v>3249</v>
      </c>
      <c r="F207" s="110">
        <v>2736</v>
      </c>
      <c r="G207" s="87">
        <f t="shared" si="61"/>
        <v>84.2105263157895</v>
      </c>
      <c r="H207" s="111">
        <v>2034</v>
      </c>
      <c r="I207" s="86">
        <f t="shared" si="62"/>
        <v>702</v>
      </c>
      <c r="J207" s="87">
        <f t="shared" si="63"/>
        <v>34.5132743362832</v>
      </c>
      <c r="K207" s="88">
        <v>3286</v>
      </c>
      <c r="L207" s="88">
        <f t="shared" si="64"/>
        <v>37</v>
      </c>
      <c r="M207" s="87">
        <f t="shared" si="65"/>
        <v>1.13881194213604</v>
      </c>
      <c r="N207" s="100"/>
    </row>
    <row r="208" s="3" customFormat="1" spans="1:14">
      <c r="A208" s="83" t="s">
        <v>155</v>
      </c>
      <c r="B208" s="84">
        <v>2050203</v>
      </c>
      <c r="C208" s="90" t="s">
        <v>297</v>
      </c>
      <c r="D208" s="86">
        <v>1841</v>
      </c>
      <c r="E208" s="86">
        <v>1841</v>
      </c>
      <c r="F208" s="110">
        <v>1235</v>
      </c>
      <c r="G208" s="87">
        <f t="shared" si="61"/>
        <v>67.0831070070614</v>
      </c>
      <c r="H208" s="111">
        <v>1849</v>
      </c>
      <c r="I208" s="86">
        <f t="shared" si="62"/>
        <v>-614</v>
      </c>
      <c r="J208" s="87">
        <f t="shared" si="63"/>
        <v>-33.2071389940508</v>
      </c>
      <c r="K208" s="88">
        <v>1809</v>
      </c>
      <c r="L208" s="88">
        <f t="shared" si="64"/>
        <v>-32</v>
      </c>
      <c r="M208" s="87">
        <f t="shared" si="65"/>
        <v>-1.73818576860402</v>
      </c>
      <c r="N208" s="100"/>
    </row>
    <row r="209" s="3" customFormat="1" spans="1:14">
      <c r="A209" s="83" t="s">
        <v>155</v>
      </c>
      <c r="B209" s="84">
        <v>2050204</v>
      </c>
      <c r="C209" s="90" t="s">
        <v>298</v>
      </c>
      <c r="D209" s="86"/>
      <c r="E209" s="86"/>
      <c r="F209" s="110"/>
      <c r="G209" s="87">
        <f t="shared" si="61"/>
        <v>0</v>
      </c>
      <c r="H209" s="111"/>
      <c r="I209" s="86">
        <f t="shared" si="62"/>
        <v>0</v>
      </c>
      <c r="J209" s="87">
        <f t="shared" si="63"/>
        <v>0</v>
      </c>
      <c r="K209" s="88"/>
      <c r="L209" s="88">
        <f t="shared" si="64"/>
        <v>0</v>
      </c>
      <c r="M209" s="87">
        <f t="shared" si="65"/>
        <v>0</v>
      </c>
      <c r="N209" s="100"/>
    </row>
    <row r="210" s="3" customFormat="1" spans="1:14">
      <c r="A210" s="83" t="s">
        <v>155</v>
      </c>
      <c r="B210" s="84">
        <v>2050205</v>
      </c>
      <c r="C210" s="90" t="s">
        <v>299</v>
      </c>
      <c r="D210" s="86"/>
      <c r="E210" s="86"/>
      <c r="F210" s="110"/>
      <c r="G210" s="87">
        <f t="shared" si="61"/>
        <v>0</v>
      </c>
      <c r="H210" s="111">
        <v>5</v>
      </c>
      <c r="I210" s="86">
        <f t="shared" si="62"/>
        <v>-5</v>
      </c>
      <c r="J210" s="87">
        <f t="shared" si="63"/>
        <v>-100</v>
      </c>
      <c r="K210" s="88"/>
      <c r="L210" s="88">
        <f t="shared" si="64"/>
        <v>0</v>
      </c>
      <c r="M210" s="87">
        <f t="shared" si="65"/>
        <v>0</v>
      </c>
      <c r="N210" s="100"/>
    </row>
    <row r="211" s="3" customFormat="1" spans="1:14">
      <c r="A211" s="83" t="s">
        <v>155</v>
      </c>
      <c r="B211" s="84">
        <v>2050299</v>
      </c>
      <c r="C211" s="89" t="s">
        <v>300</v>
      </c>
      <c r="D211" s="86">
        <f>122+12+28</f>
        <v>162</v>
      </c>
      <c r="E211" s="86">
        <f>122+12+28</f>
        <v>162</v>
      </c>
      <c r="F211" s="110">
        <v>3150</v>
      </c>
      <c r="G211" s="87">
        <f t="shared" si="61"/>
        <v>1944.44444444444</v>
      </c>
      <c r="H211" s="111">
        <v>1756</v>
      </c>
      <c r="I211" s="86">
        <f t="shared" si="62"/>
        <v>1394</v>
      </c>
      <c r="J211" s="87">
        <f t="shared" si="63"/>
        <v>79.3849658314351</v>
      </c>
      <c r="K211" s="88">
        <f>1165+396+259+241</f>
        <v>2061</v>
      </c>
      <c r="L211" s="88">
        <f t="shared" si="64"/>
        <v>1899</v>
      </c>
      <c r="M211" s="87">
        <f t="shared" si="65"/>
        <v>1172.22222222222</v>
      </c>
      <c r="N211" s="100"/>
    </row>
    <row r="212" s="3" customFormat="1" spans="1:14">
      <c r="A212" s="83" t="s">
        <v>153</v>
      </c>
      <c r="B212" s="84">
        <v>20503</v>
      </c>
      <c r="C212" s="89" t="s">
        <v>301</v>
      </c>
      <c r="D212" s="86">
        <f t="shared" ref="D212:F212" si="69">SUM(D213:D213)</f>
        <v>0</v>
      </c>
      <c r="E212" s="86">
        <f t="shared" si="69"/>
        <v>0</v>
      </c>
      <c r="F212" s="19">
        <f t="shared" si="69"/>
        <v>0</v>
      </c>
      <c r="G212" s="87">
        <f t="shared" si="61"/>
        <v>0</v>
      </c>
      <c r="H212" s="88">
        <f t="shared" ref="H212:H216" si="70">SUM(H213:H213)</f>
        <v>0</v>
      </c>
      <c r="I212" s="86">
        <f t="shared" si="62"/>
        <v>0</v>
      </c>
      <c r="J212" s="87">
        <f t="shared" si="63"/>
        <v>0</v>
      </c>
      <c r="K212" s="88">
        <f t="shared" ref="K212:K216" si="71">SUM(K213:K213)</f>
        <v>0</v>
      </c>
      <c r="L212" s="88">
        <f t="shared" si="64"/>
        <v>0</v>
      </c>
      <c r="M212" s="87">
        <f t="shared" si="65"/>
        <v>0</v>
      </c>
      <c r="N212" s="100"/>
    </row>
    <row r="213" s="3" customFormat="1" hidden="1" spans="1:14">
      <c r="A213" s="83" t="s">
        <v>155</v>
      </c>
      <c r="B213" s="84">
        <v>2050399</v>
      </c>
      <c r="C213" s="90" t="s">
        <v>302</v>
      </c>
      <c r="D213" s="86"/>
      <c r="E213" s="86"/>
      <c r="F213" s="19"/>
      <c r="G213" s="87">
        <f t="shared" si="61"/>
        <v>0</v>
      </c>
      <c r="H213" s="88"/>
      <c r="I213" s="86">
        <f t="shared" si="62"/>
        <v>0</v>
      </c>
      <c r="J213" s="87">
        <f t="shared" si="63"/>
        <v>0</v>
      </c>
      <c r="K213" s="88"/>
      <c r="L213" s="88">
        <f t="shared" si="64"/>
        <v>0</v>
      </c>
      <c r="M213" s="87">
        <f t="shared" si="65"/>
        <v>0</v>
      </c>
      <c r="N213" s="100"/>
    </row>
    <row r="214" s="3" customFormat="1" spans="1:14">
      <c r="A214" s="83" t="s">
        <v>153</v>
      </c>
      <c r="B214" s="84">
        <v>20504</v>
      </c>
      <c r="C214" s="85" t="s">
        <v>303</v>
      </c>
      <c r="D214" s="86">
        <f t="shared" ref="D214:F214" si="72">SUM(D215:D215)</f>
        <v>0</v>
      </c>
      <c r="E214" s="86">
        <f t="shared" si="72"/>
        <v>0</v>
      </c>
      <c r="F214" s="19">
        <f t="shared" si="72"/>
        <v>0</v>
      </c>
      <c r="G214" s="87">
        <f t="shared" si="61"/>
        <v>0</v>
      </c>
      <c r="H214" s="88">
        <f t="shared" si="70"/>
        <v>0</v>
      </c>
      <c r="I214" s="86">
        <f t="shared" si="62"/>
        <v>0</v>
      </c>
      <c r="J214" s="87">
        <f t="shared" si="63"/>
        <v>0</v>
      </c>
      <c r="K214" s="88">
        <f t="shared" si="71"/>
        <v>0</v>
      </c>
      <c r="L214" s="88">
        <f t="shared" si="64"/>
        <v>0</v>
      </c>
      <c r="M214" s="87">
        <f t="shared" si="65"/>
        <v>0</v>
      </c>
      <c r="N214" s="100"/>
    </row>
    <row r="215" s="3" customFormat="1" hidden="1" spans="1:14">
      <c r="A215" s="83" t="s">
        <v>155</v>
      </c>
      <c r="B215" s="84">
        <v>2050499</v>
      </c>
      <c r="C215" s="90" t="s">
        <v>304</v>
      </c>
      <c r="D215" s="86"/>
      <c r="E215" s="86"/>
      <c r="F215" s="19"/>
      <c r="G215" s="87">
        <f t="shared" si="61"/>
        <v>0</v>
      </c>
      <c r="H215" s="88"/>
      <c r="I215" s="86">
        <f t="shared" si="62"/>
        <v>0</v>
      </c>
      <c r="J215" s="87">
        <f t="shared" si="63"/>
        <v>0</v>
      </c>
      <c r="K215" s="88"/>
      <c r="L215" s="88">
        <f t="shared" si="64"/>
        <v>0</v>
      </c>
      <c r="M215" s="87">
        <f t="shared" si="65"/>
        <v>0</v>
      </c>
      <c r="N215" s="100"/>
    </row>
    <row r="216" s="3" customFormat="1" spans="1:14">
      <c r="A216" s="83" t="s">
        <v>153</v>
      </c>
      <c r="B216" s="84">
        <v>20505</v>
      </c>
      <c r="C216" s="90" t="s">
        <v>305</v>
      </c>
      <c r="D216" s="86">
        <f t="shared" ref="D216:F216" si="73">SUM(D217:D217)</f>
        <v>0</v>
      </c>
      <c r="E216" s="86">
        <f t="shared" si="73"/>
        <v>0</v>
      </c>
      <c r="F216" s="19">
        <f t="shared" si="73"/>
        <v>0</v>
      </c>
      <c r="G216" s="87">
        <f t="shared" si="61"/>
        <v>0</v>
      </c>
      <c r="H216" s="88">
        <f t="shared" si="70"/>
        <v>0</v>
      </c>
      <c r="I216" s="86">
        <f t="shared" si="62"/>
        <v>0</v>
      </c>
      <c r="J216" s="87">
        <f t="shared" si="63"/>
        <v>0</v>
      </c>
      <c r="K216" s="88">
        <f t="shared" si="71"/>
        <v>0</v>
      </c>
      <c r="L216" s="88">
        <f t="shared" si="64"/>
        <v>0</v>
      </c>
      <c r="M216" s="87">
        <f t="shared" si="65"/>
        <v>0</v>
      </c>
      <c r="N216" s="100"/>
    </row>
    <row r="217" s="3" customFormat="1" hidden="1" spans="1:14">
      <c r="A217" s="83" t="s">
        <v>155</v>
      </c>
      <c r="B217" s="84">
        <v>2050599</v>
      </c>
      <c r="C217" s="89" t="s">
        <v>306</v>
      </c>
      <c r="D217" s="86"/>
      <c r="E217" s="86"/>
      <c r="F217" s="110"/>
      <c r="G217" s="87">
        <f t="shared" si="61"/>
        <v>0</v>
      </c>
      <c r="H217" s="111"/>
      <c r="I217" s="86">
        <f t="shared" si="62"/>
        <v>0</v>
      </c>
      <c r="J217" s="87">
        <f t="shared" si="63"/>
        <v>0</v>
      </c>
      <c r="K217" s="88"/>
      <c r="L217" s="88">
        <f t="shared" si="64"/>
        <v>0</v>
      </c>
      <c r="M217" s="87">
        <f t="shared" si="65"/>
        <v>0</v>
      </c>
      <c r="N217" s="100"/>
    </row>
    <row r="218" s="3" customFormat="1" spans="1:14">
      <c r="A218" s="83" t="s">
        <v>153</v>
      </c>
      <c r="B218" s="84">
        <v>20506</v>
      </c>
      <c r="C218" s="90" t="s">
        <v>307</v>
      </c>
      <c r="D218" s="86">
        <f t="shared" ref="D218:F218" si="74">SUM(D219:D219)</f>
        <v>0</v>
      </c>
      <c r="E218" s="86">
        <f t="shared" si="74"/>
        <v>0</v>
      </c>
      <c r="F218" s="19">
        <f t="shared" si="74"/>
        <v>0</v>
      </c>
      <c r="G218" s="87">
        <f t="shared" si="61"/>
        <v>0</v>
      </c>
      <c r="H218" s="88">
        <f t="shared" ref="H218:H222" si="75">SUM(H219:H219)</f>
        <v>0</v>
      </c>
      <c r="I218" s="86">
        <f t="shared" si="62"/>
        <v>0</v>
      </c>
      <c r="J218" s="87">
        <f t="shared" si="63"/>
        <v>0</v>
      </c>
      <c r="K218" s="88">
        <f t="shared" ref="K218:K222" si="76">SUM(K219:K219)</f>
        <v>0</v>
      </c>
      <c r="L218" s="88">
        <f t="shared" si="64"/>
        <v>0</v>
      </c>
      <c r="M218" s="87">
        <f t="shared" si="65"/>
        <v>0</v>
      </c>
      <c r="N218" s="100"/>
    </row>
    <row r="219" s="3" customFormat="1" hidden="1" spans="1:14">
      <c r="A219" s="83" t="s">
        <v>155</v>
      </c>
      <c r="B219" s="84">
        <v>2050699</v>
      </c>
      <c r="C219" s="85" t="s">
        <v>308</v>
      </c>
      <c r="D219" s="86"/>
      <c r="E219" s="86"/>
      <c r="F219" s="19"/>
      <c r="G219" s="87">
        <f t="shared" si="61"/>
        <v>0</v>
      </c>
      <c r="H219" s="88"/>
      <c r="I219" s="86">
        <f t="shared" si="62"/>
        <v>0</v>
      </c>
      <c r="J219" s="87">
        <f t="shared" si="63"/>
        <v>0</v>
      </c>
      <c r="K219" s="88"/>
      <c r="L219" s="88">
        <f t="shared" si="64"/>
        <v>0</v>
      </c>
      <c r="M219" s="87">
        <f t="shared" si="65"/>
        <v>0</v>
      </c>
      <c r="N219" s="100"/>
    </row>
    <row r="220" s="3" customFormat="1" spans="1:14">
      <c r="A220" s="83" t="s">
        <v>153</v>
      </c>
      <c r="B220" s="84">
        <v>20507</v>
      </c>
      <c r="C220" s="89" t="s">
        <v>309</v>
      </c>
      <c r="D220" s="86">
        <f t="shared" ref="D220:F220" si="77">SUM(D221:D221)</f>
        <v>3</v>
      </c>
      <c r="E220" s="86">
        <f t="shared" si="77"/>
        <v>3</v>
      </c>
      <c r="F220" s="19">
        <f t="shared" si="77"/>
        <v>17</v>
      </c>
      <c r="G220" s="87">
        <f t="shared" si="61"/>
        <v>566.666666666667</v>
      </c>
      <c r="H220" s="88">
        <f t="shared" si="75"/>
        <v>0</v>
      </c>
      <c r="I220" s="86">
        <f t="shared" si="62"/>
        <v>17</v>
      </c>
      <c r="J220" s="87">
        <f t="shared" si="63"/>
        <v>0</v>
      </c>
      <c r="K220" s="88">
        <f t="shared" si="76"/>
        <v>0</v>
      </c>
      <c r="L220" s="88">
        <f t="shared" si="64"/>
        <v>-3</v>
      </c>
      <c r="M220" s="87">
        <f t="shared" si="65"/>
        <v>-100</v>
      </c>
      <c r="N220" s="100"/>
    </row>
    <row r="221" s="3" customFormat="1" spans="1:14">
      <c r="A221" s="83" t="s">
        <v>155</v>
      </c>
      <c r="B221" s="84">
        <v>2050799</v>
      </c>
      <c r="C221" s="90" t="s">
        <v>310</v>
      </c>
      <c r="D221" s="86">
        <v>3</v>
      </c>
      <c r="E221" s="86">
        <v>3</v>
      </c>
      <c r="F221" s="19">
        <v>17</v>
      </c>
      <c r="G221" s="87">
        <f t="shared" si="61"/>
        <v>566.666666666667</v>
      </c>
      <c r="H221" s="88"/>
      <c r="I221" s="86">
        <f t="shared" si="62"/>
        <v>17</v>
      </c>
      <c r="J221" s="87">
        <f t="shared" si="63"/>
        <v>0</v>
      </c>
      <c r="K221" s="88"/>
      <c r="L221" s="88">
        <f t="shared" si="64"/>
        <v>-3</v>
      </c>
      <c r="M221" s="87">
        <f t="shared" si="65"/>
        <v>-100</v>
      </c>
      <c r="N221" s="100"/>
    </row>
    <row r="222" s="3" customFormat="1" spans="1:14">
      <c r="A222" s="83" t="s">
        <v>153</v>
      </c>
      <c r="B222" s="84">
        <v>20508</v>
      </c>
      <c r="C222" s="90" t="s">
        <v>311</v>
      </c>
      <c r="D222" s="86">
        <f t="shared" ref="D222:F222" si="78">SUM(D223:D223)</f>
        <v>0</v>
      </c>
      <c r="E222" s="86">
        <f t="shared" si="78"/>
        <v>0</v>
      </c>
      <c r="F222" s="19">
        <f t="shared" si="78"/>
        <v>0</v>
      </c>
      <c r="G222" s="87">
        <f t="shared" si="61"/>
        <v>0</v>
      </c>
      <c r="H222" s="88">
        <f t="shared" si="75"/>
        <v>0</v>
      </c>
      <c r="I222" s="86">
        <f t="shared" si="62"/>
        <v>0</v>
      </c>
      <c r="J222" s="87">
        <f t="shared" si="63"/>
        <v>0</v>
      </c>
      <c r="K222" s="88">
        <f t="shared" si="76"/>
        <v>0</v>
      </c>
      <c r="L222" s="88">
        <f t="shared" si="64"/>
        <v>0</v>
      </c>
      <c r="M222" s="87">
        <f t="shared" si="65"/>
        <v>0</v>
      </c>
      <c r="N222" s="100"/>
    </row>
    <row r="223" s="3" customFormat="1" spans="1:14">
      <c r="A223" s="83" t="s">
        <v>155</v>
      </c>
      <c r="B223" s="84">
        <v>2050899</v>
      </c>
      <c r="C223" s="89" t="s">
        <v>312</v>
      </c>
      <c r="D223" s="86"/>
      <c r="E223" s="86"/>
      <c r="F223" s="19"/>
      <c r="G223" s="87">
        <f t="shared" si="61"/>
        <v>0</v>
      </c>
      <c r="H223" s="88"/>
      <c r="I223" s="86">
        <f t="shared" si="62"/>
        <v>0</v>
      </c>
      <c r="J223" s="87">
        <f t="shared" si="63"/>
        <v>0</v>
      </c>
      <c r="K223" s="88"/>
      <c r="L223" s="88">
        <f t="shared" si="64"/>
        <v>0</v>
      </c>
      <c r="M223" s="87">
        <f t="shared" si="65"/>
        <v>0</v>
      </c>
      <c r="N223" s="100"/>
    </row>
    <row r="224" s="3" customFormat="1" spans="1:14">
      <c r="A224" s="83" t="s">
        <v>153</v>
      </c>
      <c r="B224" s="84">
        <v>20509</v>
      </c>
      <c r="C224" s="89" t="s">
        <v>313</v>
      </c>
      <c r="D224" s="86">
        <f t="shared" ref="D224:F224" si="79">SUM(D225:D228)</f>
        <v>0</v>
      </c>
      <c r="E224" s="86">
        <f t="shared" si="79"/>
        <v>0</v>
      </c>
      <c r="F224" s="19">
        <f t="shared" si="79"/>
        <v>547</v>
      </c>
      <c r="G224" s="87">
        <f t="shared" si="61"/>
        <v>0</v>
      </c>
      <c r="H224" s="88">
        <f>SUM(H225:H228)</f>
        <v>686</v>
      </c>
      <c r="I224" s="86">
        <f t="shared" si="62"/>
        <v>-139</v>
      </c>
      <c r="J224" s="87">
        <f t="shared" si="63"/>
        <v>-20.2623906705539</v>
      </c>
      <c r="K224" s="88">
        <f>SUM(K225:K228)</f>
        <v>0</v>
      </c>
      <c r="L224" s="88">
        <f t="shared" si="64"/>
        <v>0</v>
      </c>
      <c r="M224" s="87">
        <f t="shared" si="65"/>
        <v>0</v>
      </c>
      <c r="N224" s="100"/>
    </row>
    <row r="225" s="3" customFormat="1" spans="1:14">
      <c r="A225" s="83" t="s">
        <v>155</v>
      </c>
      <c r="B225" s="84">
        <v>2050901</v>
      </c>
      <c r="C225" s="90" t="s">
        <v>314</v>
      </c>
      <c r="D225" s="86"/>
      <c r="E225" s="86"/>
      <c r="F225" s="110">
        <v>24</v>
      </c>
      <c r="G225" s="87">
        <f t="shared" si="61"/>
        <v>0</v>
      </c>
      <c r="H225" s="111"/>
      <c r="I225" s="86">
        <f t="shared" si="62"/>
        <v>24</v>
      </c>
      <c r="J225" s="87">
        <f t="shared" si="63"/>
        <v>0</v>
      </c>
      <c r="K225" s="88"/>
      <c r="L225" s="88">
        <f t="shared" si="64"/>
        <v>0</v>
      </c>
      <c r="M225" s="87">
        <f t="shared" si="65"/>
        <v>0</v>
      </c>
      <c r="N225" s="100"/>
    </row>
    <row r="226" s="3" customFormat="1" spans="1:14">
      <c r="A226" s="83" t="s">
        <v>155</v>
      </c>
      <c r="B226" s="84">
        <v>2050902</v>
      </c>
      <c r="C226" s="90" t="s">
        <v>315</v>
      </c>
      <c r="D226" s="86"/>
      <c r="E226" s="86"/>
      <c r="F226" s="110">
        <v>172</v>
      </c>
      <c r="G226" s="87">
        <f t="shared" si="61"/>
        <v>0</v>
      </c>
      <c r="H226" s="111">
        <v>651</v>
      </c>
      <c r="I226" s="86">
        <f t="shared" si="62"/>
        <v>-479</v>
      </c>
      <c r="J226" s="87">
        <f t="shared" si="63"/>
        <v>-73.57910906298</v>
      </c>
      <c r="K226" s="88"/>
      <c r="L226" s="88">
        <f t="shared" si="64"/>
        <v>0</v>
      </c>
      <c r="M226" s="87">
        <f t="shared" si="65"/>
        <v>0</v>
      </c>
      <c r="N226" s="100"/>
    </row>
    <row r="227" s="3" customFormat="1" spans="1:14">
      <c r="A227" s="83" t="s">
        <v>155</v>
      </c>
      <c r="B227" s="84">
        <v>2050905</v>
      </c>
      <c r="C227" s="90" t="s">
        <v>316</v>
      </c>
      <c r="D227" s="86"/>
      <c r="E227" s="86"/>
      <c r="F227" s="110"/>
      <c r="G227" s="87">
        <f t="shared" si="61"/>
        <v>0</v>
      </c>
      <c r="H227" s="111"/>
      <c r="I227" s="86">
        <f t="shared" si="62"/>
        <v>0</v>
      </c>
      <c r="J227" s="87">
        <f t="shared" si="63"/>
        <v>0</v>
      </c>
      <c r="K227" s="88"/>
      <c r="L227" s="88">
        <f t="shared" si="64"/>
        <v>0</v>
      </c>
      <c r="M227" s="87">
        <f t="shared" si="65"/>
        <v>0</v>
      </c>
      <c r="N227" s="100"/>
    </row>
    <row r="228" s="3" customFormat="1" spans="1:14">
      <c r="A228" s="83" t="s">
        <v>155</v>
      </c>
      <c r="B228" s="84">
        <v>2050999</v>
      </c>
      <c r="C228" s="89" t="s">
        <v>317</v>
      </c>
      <c r="D228" s="86"/>
      <c r="E228" s="86"/>
      <c r="F228" s="110">
        <v>351</v>
      </c>
      <c r="G228" s="87">
        <f t="shared" si="61"/>
        <v>0</v>
      </c>
      <c r="H228" s="111">
        <v>35</v>
      </c>
      <c r="I228" s="86">
        <f t="shared" si="62"/>
        <v>316</v>
      </c>
      <c r="J228" s="87">
        <f t="shared" si="63"/>
        <v>902.857142857143</v>
      </c>
      <c r="K228" s="88"/>
      <c r="L228" s="88">
        <f t="shared" si="64"/>
        <v>0</v>
      </c>
      <c r="M228" s="87">
        <f t="shared" si="65"/>
        <v>0</v>
      </c>
      <c r="N228" s="100"/>
    </row>
    <row r="229" s="3" customFormat="1" spans="1:14">
      <c r="A229" s="83" t="s">
        <v>153</v>
      </c>
      <c r="B229" s="84">
        <v>20599</v>
      </c>
      <c r="C229" s="89" t="s">
        <v>318</v>
      </c>
      <c r="D229" s="86">
        <f t="shared" ref="D229:F229" si="80">D230</f>
        <v>0</v>
      </c>
      <c r="E229" s="86">
        <f t="shared" si="80"/>
        <v>0</v>
      </c>
      <c r="F229" s="92">
        <f t="shared" si="80"/>
        <v>230</v>
      </c>
      <c r="G229" s="87">
        <f t="shared" si="61"/>
        <v>0</v>
      </c>
      <c r="H229" s="86">
        <f>H230</f>
        <v>0</v>
      </c>
      <c r="I229" s="86">
        <f t="shared" si="62"/>
        <v>230</v>
      </c>
      <c r="J229" s="87">
        <f t="shared" si="63"/>
        <v>0</v>
      </c>
      <c r="K229" s="86">
        <f>K230</f>
        <v>0</v>
      </c>
      <c r="L229" s="88">
        <f t="shared" si="64"/>
        <v>0</v>
      </c>
      <c r="M229" s="87">
        <f t="shared" si="65"/>
        <v>0</v>
      </c>
      <c r="N229" s="100"/>
    </row>
    <row r="230" s="3" customFormat="1" spans="1:14">
      <c r="A230" s="83" t="s">
        <v>155</v>
      </c>
      <c r="B230" s="84">
        <v>2059999</v>
      </c>
      <c r="C230" s="89" t="s">
        <v>319</v>
      </c>
      <c r="D230" s="86"/>
      <c r="E230" s="86"/>
      <c r="F230" s="19">
        <v>230</v>
      </c>
      <c r="G230" s="87">
        <f t="shared" si="61"/>
        <v>0</v>
      </c>
      <c r="H230" s="88"/>
      <c r="I230" s="86">
        <f t="shared" si="62"/>
        <v>230</v>
      </c>
      <c r="J230" s="87">
        <f t="shared" si="63"/>
        <v>0</v>
      </c>
      <c r="K230" s="88"/>
      <c r="L230" s="88">
        <f t="shared" si="64"/>
        <v>0</v>
      </c>
      <c r="M230" s="87">
        <f t="shared" si="65"/>
        <v>0</v>
      </c>
      <c r="N230" s="100"/>
    </row>
    <row r="231" s="3" customFormat="1" spans="1:14">
      <c r="A231" s="83" t="s">
        <v>151</v>
      </c>
      <c r="B231" s="84">
        <v>206</v>
      </c>
      <c r="C231" s="85" t="s">
        <v>320</v>
      </c>
      <c r="D231" s="86">
        <f t="shared" ref="D231:F231" si="81">SUM(D232,D235,D237,D239,D241,D243,D245,D249,D251,D253)</f>
        <v>47</v>
      </c>
      <c r="E231" s="86">
        <f t="shared" si="81"/>
        <v>47</v>
      </c>
      <c r="F231" s="86">
        <f t="shared" si="81"/>
        <v>45</v>
      </c>
      <c r="G231" s="87">
        <f t="shared" si="61"/>
        <v>95.7446808510638</v>
      </c>
      <c r="H231" s="88">
        <f>SUM(H232,H235,H237,H239,H241,H243,H245,H249,H251,H253)</f>
        <v>45</v>
      </c>
      <c r="I231" s="86">
        <f t="shared" si="62"/>
        <v>0</v>
      </c>
      <c r="J231" s="87">
        <f t="shared" si="63"/>
        <v>0</v>
      </c>
      <c r="K231" s="88">
        <f>SUM(K232,K235,K237,K239,K241,K243,K245,K249,K251,K253)</f>
        <v>28</v>
      </c>
      <c r="L231" s="88">
        <f t="shared" si="64"/>
        <v>-19</v>
      </c>
      <c r="M231" s="87">
        <f t="shared" si="65"/>
        <v>-40.4255319148936</v>
      </c>
      <c r="N231" s="100"/>
    </row>
    <row r="232" s="3" customFormat="1" spans="1:14">
      <c r="A232" s="83" t="s">
        <v>153</v>
      </c>
      <c r="B232" s="84">
        <v>20601</v>
      </c>
      <c r="C232" s="90" t="s">
        <v>321</v>
      </c>
      <c r="D232" s="86">
        <f t="shared" ref="D232:F232" si="82">SUM(D233:D234)</f>
        <v>43</v>
      </c>
      <c r="E232" s="86">
        <f t="shared" si="82"/>
        <v>43</v>
      </c>
      <c r="F232" s="19">
        <f t="shared" si="82"/>
        <v>43</v>
      </c>
      <c r="G232" s="87">
        <f t="shared" si="61"/>
        <v>100</v>
      </c>
      <c r="H232" s="88">
        <f>SUM(H233:H234)</f>
        <v>42</v>
      </c>
      <c r="I232" s="86">
        <f t="shared" si="62"/>
        <v>1</v>
      </c>
      <c r="J232" s="87">
        <f t="shared" si="63"/>
        <v>2.38095238095238</v>
      </c>
      <c r="K232" s="88">
        <f>SUM(K233:K234)</f>
        <v>28</v>
      </c>
      <c r="L232" s="88">
        <f t="shared" si="64"/>
        <v>-15</v>
      </c>
      <c r="M232" s="87">
        <f t="shared" si="65"/>
        <v>-34.8837209302326</v>
      </c>
      <c r="N232" s="100"/>
    </row>
    <row r="233" s="3" customFormat="1" spans="1:14">
      <c r="A233" s="83" t="s">
        <v>155</v>
      </c>
      <c r="B233" s="84">
        <v>2060101</v>
      </c>
      <c r="C233" s="89" t="s">
        <v>156</v>
      </c>
      <c r="D233" s="86">
        <v>43</v>
      </c>
      <c r="E233" s="86">
        <v>43</v>
      </c>
      <c r="F233" s="110">
        <v>43</v>
      </c>
      <c r="G233" s="87">
        <f t="shared" si="61"/>
        <v>100</v>
      </c>
      <c r="H233" s="111">
        <v>39</v>
      </c>
      <c r="I233" s="86">
        <f t="shared" si="62"/>
        <v>4</v>
      </c>
      <c r="J233" s="87">
        <f t="shared" si="63"/>
        <v>10.2564102564103</v>
      </c>
      <c r="K233" s="88">
        <v>28</v>
      </c>
      <c r="L233" s="88">
        <f t="shared" si="64"/>
        <v>-15</v>
      </c>
      <c r="M233" s="87">
        <f t="shared" si="65"/>
        <v>-34.8837209302326</v>
      </c>
      <c r="N233" s="100"/>
    </row>
    <row r="234" s="3" customFormat="1" spans="1:14">
      <c r="A234" s="83" t="s">
        <v>155</v>
      </c>
      <c r="B234" s="84">
        <v>2060199</v>
      </c>
      <c r="C234" s="90" t="s">
        <v>322</v>
      </c>
      <c r="D234" s="86"/>
      <c r="E234" s="86"/>
      <c r="F234" s="110"/>
      <c r="G234" s="87">
        <f t="shared" si="61"/>
        <v>0</v>
      </c>
      <c r="H234" s="111">
        <v>3</v>
      </c>
      <c r="I234" s="86">
        <f t="shared" si="62"/>
        <v>-3</v>
      </c>
      <c r="J234" s="87">
        <f t="shared" si="63"/>
        <v>-100</v>
      </c>
      <c r="K234" s="88"/>
      <c r="L234" s="88">
        <f t="shared" si="64"/>
        <v>0</v>
      </c>
      <c r="M234" s="87">
        <f t="shared" si="65"/>
        <v>0</v>
      </c>
      <c r="N234" s="100"/>
    </row>
    <row r="235" s="3" customFormat="1" spans="1:14">
      <c r="A235" s="83" t="s">
        <v>153</v>
      </c>
      <c r="B235" s="84">
        <v>20602</v>
      </c>
      <c r="C235" s="89" t="s">
        <v>323</v>
      </c>
      <c r="D235" s="86">
        <f t="shared" ref="D235:F235" si="83">SUM(D236:D236)</f>
        <v>0</v>
      </c>
      <c r="E235" s="86">
        <f t="shared" si="83"/>
        <v>0</v>
      </c>
      <c r="F235" s="19">
        <f t="shared" si="83"/>
        <v>0</v>
      </c>
      <c r="G235" s="87">
        <f t="shared" si="61"/>
        <v>0</v>
      </c>
      <c r="H235" s="88">
        <f t="shared" ref="H235:H239" si="84">SUM(H236:H236)</f>
        <v>0</v>
      </c>
      <c r="I235" s="86">
        <f t="shared" si="62"/>
        <v>0</v>
      </c>
      <c r="J235" s="87">
        <f t="shared" si="63"/>
        <v>0</v>
      </c>
      <c r="K235" s="88">
        <f t="shared" ref="K235:K239" si="85">SUM(K236:K236)</f>
        <v>0</v>
      </c>
      <c r="L235" s="88">
        <f t="shared" si="64"/>
        <v>0</v>
      </c>
      <c r="M235" s="87">
        <f t="shared" si="65"/>
        <v>0</v>
      </c>
      <c r="N235" s="100"/>
    </row>
    <row r="236" s="3" customFormat="1" hidden="1" spans="1:14">
      <c r="A236" s="83" t="s">
        <v>155</v>
      </c>
      <c r="B236" s="84">
        <v>2060299</v>
      </c>
      <c r="C236" s="90" t="s">
        <v>324</v>
      </c>
      <c r="D236" s="86"/>
      <c r="E236" s="86"/>
      <c r="F236" s="19"/>
      <c r="G236" s="87">
        <f t="shared" si="61"/>
        <v>0</v>
      </c>
      <c r="H236" s="88"/>
      <c r="I236" s="86">
        <f t="shared" si="62"/>
        <v>0</v>
      </c>
      <c r="J236" s="87">
        <f t="shared" si="63"/>
        <v>0</v>
      </c>
      <c r="K236" s="88"/>
      <c r="L236" s="88">
        <f t="shared" si="64"/>
        <v>0</v>
      </c>
      <c r="M236" s="87">
        <f t="shared" si="65"/>
        <v>0</v>
      </c>
      <c r="N236" s="100"/>
    </row>
    <row r="237" s="3" customFormat="1" spans="1:14">
      <c r="A237" s="83" t="s">
        <v>153</v>
      </c>
      <c r="B237" s="84">
        <v>20603</v>
      </c>
      <c r="C237" s="90" t="s">
        <v>325</v>
      </c>
      <c r="D237" s="86">
        <f t="shared" ref="D237:F237" si="86">SUM(D238:D238)</f>
        <v>0</v>
      </c>
      <c r="E237" s="86">
        <f t="shared" si="86"/>
        <v>0</v>
      </c>
      <c r="F237" s="19">
        <f t="shared" si="86"/>
        <v>0</v>
      </c>
      <c r="G237" s="87">
        <f t="shared" si="61"/>
        <v>0</v>
      </c>
      <c r="H237" s="88">
        <f t="shared" si="84"/>
        <v>0</v>
      </c>
      <c r="I237" s="86">
        <f t="shared" si="62"/>
        <v>0</v>
      </c>
      <c r="J237" s="87">
        <f t="shared" si="63"/>
        <v>0</v>
      </c>
      <c r="K237" s="88">
        <f t="shared" si="85"/>
        <v>0</v>
      </c>
      <c r="L237" s="88">
        <f t="shared" si="64"/>
        <v>0</v>
      </c>
      <c r="M237" s="87">
        <f t="shared" si="65"/>
        <v>0</v>
      </c>
      <c r="N237" s="100"/>
    </row>
    <row r="238" s="3" customFormat="1" hidden="1" spans="1:14">
      <c r="A238" s="83" t="s">
        <v>155</v>
      </c>
      <c r="B238" s="84">
        <v>2060399</v>
      </c>
      <c r="C238" s="90" t="s">
        <v>326</v>
      </c>
      <c r="D238" s="86"/>
      <c r="E238" s="86"/>
      <c r="F238" s="19"/>
      <c r="G238" s="87">
        <f t="shared" si="61"/>
        <v>0</v>
      </c>
      <c r="H238" s="88"/>
      <c r="I238" s="86">
        <f t="shared" si="62"/>
        <v>0</v>
      </c>
      <c r="J238" s="87">
        <f t="shared" si="63"/>
        <v>0</v>
      </c>
      <c r="K238" s="88"/>
      <c r="L238" s="88">
        <f t="shared" si="64"/>
        <v>0</v>
      </c>
      <c r="M238" s="87">
        <f t="shared" si="65"/>
        <v>0</v>
      </c>
      <c r="N238" s="100"/>
    </row>
    <row r="239" s="3" customFormat="1" spans="1:14">
      <c r="A239" s="83" t="s">
        <v>153</v>
      </c>
      <c r="B239" s="84">
        <v>20604</v>
      </c>
      <c r="C239" s="90" t="s">
        <v>327</v>
      </c>
      <c r="D239" s="86">
        <f t="shared" ref="D239:F239" si="87">SUM(D240:D240)</f>
        <v>0</v>
      </c>
      <c r="E239" s="86">
        <f t="shared" si="87"/>
        <v>0</v>
      </c>
      <c r="F239" s="19">
        <f t="shared" si="87"/>
        <v>0</v>
      </c>
      <c r="G239" s="87">
        <f t="shared" si="61"/>
        <v>0</v>
      </c>
      <c r="H239" s="88">
        <f t="shared" si="84"/>
        <v>0</v>
      </c>
      <c r="I239" s="86">
        <f t="shared" si="62"/>
        <v>0</v>
      </c>
      <c r="J239" s="87">
        <f t="shared" si="63"/>
        <v>0</v>
      </c>
      <c r="K239" s="88">
        <f t="shared" si="85"/>
        <v>0</v>
      </c>
      <c r="L239" s="88">
        <f t="shared" si="64"/>
        <v>0</v>
      </c>
      <c r="M239" s="87">
        <f t="shared" si="65"/>
        <v>0</v>
      </c>
      <c r="N239" s="100"/>
    </row>
    <row r="240" s="3" customFormat="1" hidden="1" spans="1:14">
      <c r="A240" s="83" t="s">
        <v>155</v>
      </c>
      <c r="B240" s="84">
        <v>2060499</v>
      </c>
      <c r="C240" s="90" t="s">
        <v>328</v>
      </c>
      <c r="D240" s="86"/>
      <c r="E240" s="86"/>
      <c r="F240" s="19"/>
      <c r="G240" s="87">
        <f t="shared" si="61"/>
        <v>0</v>
      </c>
      <c r="H240" s="88"/>
      <c r="I240" s="86">
        <f t="shared" si="62"/>
        <v>0</v>
      </c>
      <c r="J240" s="87">
        <f t="shared" si="63"/>
        <v>0</v>
      </c>
      <c r="K240" s="88"/>
      <c r="L240" s="88">
        <f t="shared" si="64"/>
        <v>0</v>
      </c>
      <c r="M240" s="87">
        <f t="shared" si="65"/>
        <v>0</v>
      </c>
      <c r="N240" s="100"/>
    </row>
    <row r="241" s="3" customFormat="1" spans="1:14">
      <c r="A241" s="83" t="s">
        <v>153</v>
      </c>
      <c r="B241" s="84">
        <v>20605</v>
      </c>
      <c r="C241" s="90" t="s">
        <v>329</v>
      </c>
      <c r="D241" s="86">
        <f t="shared" ref="D241:F241" si="88">SUM(D242:D242)</f>
        <v>0</v>
      </c>
      <c r="E241" s="86">
        <f t="shared" si="88"/>
        <v>0</v>
      </c>
      <c r="F241" s="19">
        <f t="shared" si="88"/>
        <v>0</v>
      </c>
      <c r="G241" s="87">
        <f t="shared" si="61"/>
        <v>0</v>
      </c>
      <c r="H241" s="88">
        <f>SUM(H242:H242)</f>
        <v>0</v>
      </c>
      <c r="I241" s="86">
        <f t="shared" si="62"/>
        <v>0</v>
      </c>
      <c r="J241" s="87">
        <f t="shared" si="63"/>
        <v>0</v>
      </c>
      <c r="K241" s="88">
        <f>SUM(K242:K242)</f>
        <v>0</v>
      </c>
      <c r="L241" s="88">
        <f t="shared" si="64"/>
        <v>0</v>
      </c>
      <c r="M241" s="87">
        <f t="shared" si="65"/>
        <v>0</v>
      </c>
      <c r="N241" s="100"/>
    </row>
    <row r="242" s="3" customFormat="1" hidden="1" spans="1:14">
      <c r="A242" s="83" t="s">
        <v>155</v>
      </c>
      <c r="B242" s="84">
        <v>2060599</v>
      </c>
      <c r="C242" s="89" t="s">
        <v>330</v>
      </c>
      <c r="D242" s="86"/>
      <c r="E242" s="86"/>
      <c r="F242" s="19"/>
      <c r="G242" s="87">
        <f t="shared" si="61"/>
        <v>0</v>
      </c>
      <c r="H242" s="88"/>
      <c r="I242" s="86">
        <f t="shared" si="62"/>
        <v>0</v>
      </c>
      <c r="J242" s="87">
        <f t="shared" si="63"/>
        <v>0</v>
      </c>
      <c r="K242" s="88"/>
      <c r="L242" s="88">
        <f t="shared" si="64"/>
        <v>0</v>
      </c>
      <c r="M242" s="87">
        <f t="shared" si="65"/>
        <v>0</v>
      </c>
      <c r="N242" s="100"/>
    </row>
    <row r="243" s="3" customFormat="1" spans="1:14">
      <c r="A243" s="83" t="s">
        <v>153</v>
      </c>
      <c r="B243" s="84">
        <v>20606</v>
      </c>
      <c r="C243" s="90" t="s">
        <v>331</v>
      </c>
      <c r="D243" s="86">
        <f t="shared" ref="D243:F243" si="89">SUM(D244:D244)</f>
        <v>0</v>
      </c>
      <c r="E243" s="86">
        <f t="shared" si="89"/>
        <v>0</v>
      </c>
      <c r="F243" s="19">
        <f t="shared" si="89"/>
        <v>0</v>
      </c>
      <c r="G243" s="87">
        <f t="shared" si="61"/>
        <v>0</v>
      </c>
      <c r="H243" s="88">
        <f>SUM(H244:H244)</f>
        <v>0</v>
      </c>
      <c r="I243" s="86">
        <f t="shared" si="62"/>
        <v>0</v>
      </c>
      <c r="J243" s="87">
        <f t="shared" si="63"/>
        <v>0</v>
      </c>
      <c r="K243" s="88">
        <f>SUM(K244:K244)</f>
        <v>0</v>
      </c>
      <c r="L243" s="88">
        <f t="shared" si="64"/>
        <v>0</v>
      </c>
      <c r="M243" s="87">
        <f t="shared" si="65"/>
        <v>0</v>
      </c>
      <c r="N243" s="100"/>
    </row>
    <row r="244" s="3" customFormat="1" hidden="1" spans="1:14">
      <c r="A244" s="83" t="s">
        <v>155</v>
      </c>
      <c r="B244" s="84">
        <v>2060699</v>
      </c>
      <c r="C244" s="90" t="s">
        <v>332</v>
      </c>
      <c r="D244" s="86"/>
      <c r="E244" s="86"/>
      <c r="F244" s="19"/>
      <c r="G244" s="87">
        <f t="shared" si="61"/>
        <v>0</v>
      </c>
      <c r="H244" s="88"/>
      <c r="I244" s="86">
        <f t="shared" si="62"/>
        <v>0</v>
      </c>
      <c r="J244" s="87">
        <f t="shared" si="63"/>
        <v>0</v>
      </c>
      <c r="K244" s="88"/>
      <c r="L244" s="88">
        <f t="shared" si="64"/>
        <v>0</v>
      </c>
      <c r="M244" s="87">
        <f t="shared" si="65"/>
        <v>0</v>
      </c>
      <c r="N244" s="100"/>
    </row>
    <row r="245" s="3" customFormat="1" spans="1:14">
      <c r="A245" s="83" t="s">
        <v>153</v>
      </c>
      <c r="B245" s="84">
        <v>20607</v>
      </c>
      <c r="C245" s="89" t="s">
        <v>333</v>
      </c>
      <c r="D245" s="86">
        <f t="shared" ref="D245:F245" si="90">SUM(D246:D248)</f>
        <v>0</v>
      </c>
      <c r="E245" s="86">
        <f t="shared" si="90"/>
        <v>0</v>
      </c>
      <c r="F245" s="19">
        <f t="shared" si="90"/>
        <v>0</v>
      </c>
      <c r="G245" s="87">
        <f t="shared" si="61"/>
        <v>0</v>
      </c>
      <c r="H245" s="88">
        <f>SUM(H246:H248)</f>
        <v>3</v>
      </c>
      <c r="I245" s="86">
        <f t="shared" si="62"/>
        <v>-3</v>
      </c>
      <c r="J245" s="87">
        <f t="shared" si="63"/>
        <v>-100</v>
      </c>
      <c r="K245" s="88">
        <f>SUM(K246:K248)</f>
        <v>0</v>
      </c>
      <c r="L245" s="88">
        <f t="shared" si="64"/>
        <v>0</v>
      </c>
      <c r="M245" s="87">
        <f t="shared" si="65"/>
        <v>0</v>
      </c>
      <c r="N245" s="100"/>
    </row>
    <row r="246" s="3" customFormat="1" spans="1:14">
      <c r="A246" s="83" t="s">
        <v>155</v>
      </c>
      <c r="B246" s="84">
        <v>2060701</v>
      </c>
      <c r="C246" s="90" t="s">
        <v>334</v>
      </c>
      <c r="D246" s="86"/>
      <c r="E246" s="86"/>
      <c r="F246" s="19"/>
      <c r="G246" s="87">
        <f t="shared" si="61"/>
        <v>0</v>
      </c>
      <c r="H246" s="88">
        <v>2</v>
      </c>
      <c r="I246" s="86">
        <f t="shared" si="62"/>
        <v>-2</v>
      </c>
      <c r="J246" s="87">
        <f t="shared" si="63"/>
        <v>-100</v>
      </c>
      <c r="K246" s="88"/>
      <c r="L246" s="88">
        <f t="shared" si="64"/>
        <v>0</v>
      </c>
      <c r="M246" s="87">
        <f t="shared" si="65"/>
        <v>0</v>
      </c>
      <c r="N246" s="100"/>
    </row>
    <row r="247" s="3" customFormat="1" spans="1:14">
      <c r="A247" s="83" t="s">
        <v>155</v>
      </c>
      <c r="B247" s="84">
        <v>2060702</v>
      </c>
      <c r="C247" s="90" t="s">
        <v>335</v>
      </c>
      <c r="D247" s="86"/>
      <c r="E247" s="86"/>
      <c r="F247" s="19"/>
      <c r="G247" s="87">
        <f t="shared" si="61"/>
        <v>0</v>
      </c>
      <c r="H247" s="88">
        <v>1</v>
      </c>
      <c r="I247" s="86">
        <f t="shared" si="62"/>
        <v>-1</v>
      </c>
      <c r="J247" s="87">
        <f t="shared" si="63"/>
        <v>-100</v>
      </c>
      <c r="K247" s="88"/>
      <c r="L247" s="88">
        <f t="shared" si="64"/>
        <v>0</v>
      </c>
      <c r="M247" s="87">
        <f t="shared" si="65"/>
        <v>0</v>
      </c>
      <c r="N247" s="100"/>
    </row>
    <row r="248" s="3" customFormat="1" hidden="1" spans="1:14">
      <c r="A248" s="83" t="s">
        <v>155</v>
      </c>
      <c r="B248" s="84">
        <v>2060799</v>
      </c>
      <c r="C248" s="89" t="s">
        <v>336</v>
      </c>
      <c r="D248" s="86"/>
      <c r="E248" s="86"/>
      <c r="F248" s="110"/>
      <c r="G248" s="87">
        <f t="shared" si="61"/>
        <v>0</v>
      </c>
      <c r="H248" s="111"/>
      <c r="I248" s="86">
        <f t="shared" si="62"/>
        <v>0</v>
      </c>
      <c r="J248" s="87">
        <f t="shared" si="63"/>
        <v>0</v>
      </c>
      <c r="K248" s="88"/>
      <c r="L248" s="88">
        <f t="shared" si="64"/>
        <v>0</v>
      </c>
      <c r="M248" s="87">
        <f t="shared" si="65"/>
        <v>0</v>
      </c>
      <c r="N248" s="100"/>
    </row>
    <row r="249" s="3" customFormat="1" spans="1:14">
      <c r="A249" s="83" t="s">
        <v>153</v>
      </c>
      <c r="B249" s="84">
        <v>20608</v>
      </c>
      <c r="C249" s="89" t="s">
        <v>337</v>
      </c>
      <c r="D249" s="86">
        <f t="shared" ref="D249:F249" si="91">SUM(D250:D250)</f>
        <v>0</v>
      </c>
      <c r="E249" s="86">
        <f t="shared" si="91"/>
        <v>0</v>
      </c>
      <c r="F249" s="19">
        <f t="shared" si="91"/>
        <v>0</v>
      </c>
      <c r="G249" s="87">
        <f t="shared" si="61"/>
        <v>0</v>
      </c>
      <c r="H249" s="88">
        <f>SUM(H250:H250)</f>
        <v>0</v>
      </c>
      <c r="I249" s="86">
        <f t="shared" si="62"/>
        <v>0</v>
      </c>
      <c r="J249" s="87">
        <f t="shared" si="63"/>
        <v>0</v>
      </c>
      <c r="K249" s="88">
        <f>SUM(K250:K250)</f>
        <v>0</v>
      </c>
      <c r="L249" s="88">
        <f t="shared" si="64"/>
        <v>0</v>
      </c>
      <c r="M249" s="87">
        <f t="shared" si="65"/>
        <v>0</v>
      </c>
      <c r="N249" s="100"/>
    </row>
    <row r="250" s="3" customFormat="1" hidden="1" spans="1:14">
      <c r="A250" s="83" t="s">
        <v>155</v>
      </c>
      <c r="B250" s="84">
        <v>2060899</v>
      </c>
      <c r="C250" s="90" t="s">
        <v>338</v>
      </c>
      <c r="D250" s="86"/>
      <c r="E250" s="86"/>
      <c r="F250" s="19"/>
      <c r="G250" s="87">
        <f t="shared" si="61"/>
        <v>0</v>
      </c>
      <c r="H250" s="88"/>
      <c r="I250" s="86">
        <f t="shared" si="62"/>
        <v>0</v>
      </c>
      <c r="J250" s="87">
        <f t="shared" si="63"/>
        <v>0</v>
      </c>
      <c r="K250" s="88"/>
      <c r="L250" s="88">
        <f t="shared" si="64"/>
        <v>0</v>
      </c>
      <c r="M250" s="87">
        <f t="shared" si="65"/>
        <v>0</v>
      </c>
      <c r="N250" s="100"/>
    </row>
    <row r="251" s="3" customFormat="1" ht="12" customHeight="1" spans="1:14">
      <c r="A251" s="83" t="s">
        <v>153</v>
      </c>
      <c r="B251" s="84">
        <v>20609</v>
      </c>
      <c r="C251" s="85" t="s">
        <v>339</v>
      </c>
      <c r="D251" s="86">
        <f t="shared" ref="D251:F251" si="92">SUM(D252:D252)</f>
        <v>0</v>
      </c>
      <c r="E251" s="86">
        <f t="shared" si="92"/>
        <v>0</v>
      </c>
      <c r="F251" s="19">
        <f t="shared" si="92"/>
        <v>0</v>
      </c>
      <c r="G251" s="87">
        <f t="shared" si="61"/>
        <v>0</v>
      </c>
      <c r="H251" s="88">
        <f>SUM(H252:H252)</f>
        <v>0</v>
      </c>
      <c r="I251" s="86">
        <f t="shared" si="62"/>
        <v>0</v>
      </c>
      <c r="J251" s="87">
        <f t="shared" si="63"/>
        <v>0</v>
      </c>
      <c r="K251" s="88">
        <f>SUM(K252:K252)</f>
        <v>0</v>
      </c>
      <c r="L251" s="88">
        <f t="shared" si="64"/>
        <v>0</v>
      </c>
      <c r="M251" s="87">
        <f t="shared" si="65"/>
        <v>0</v>
      </c>
      <c r="N251" s="100"/>
    </row>
    <row r="252" s="3" customFormat="1" hidden="1" spans="1:14">
      <c r="A252" s="83" t="s">
        <v>155</v>
      </c>
      <c r="B252" s="84">
        <v>2060999</v>
      </c>
      <c r="C252" s="90" t="s">
        <v>340</v>
      </c>
      <c r="D252" s="86"/>
      <c r="E252" s="86"/>
      <c r="F252" s="19"/>
      <c r="G252" s="87">
        <f t="shared" si="61"/>
        <v>0</v>
      </c>
      <c r="H252" s="88"/>
      <c r="I252" s="86">
        <f t="shared" si="62"/>
        <v>0</v>
      </c>
      <c r="J252" s="87">
        <f t="shared" si="63"/>
        <v>0</v>
      </c>
      <c r="K252" s="88"/>
      <c r="L252" s="88">
        <f t="shared" si="64"/>
        <v>0</v>
      </c>
      <c r="M252" s="87">
        <f t="shared" si="65"/>
        <v>0</v>
      </c>
      <c r="N252" s="100"/>
    </row>
    <row r="253" s="3" customFormat="1" spans="1:14">
      <c r="A253" s="83" t="s">
        <v>153</v>
      </c>
      <c r="B253" s="84">
        <v>20699</v>
      </c>
      <c r="C253" s="89" t="s">
        <v>341</v>
      </c>
      <c r="D253" s="86">
        <f t="shared" ref="D253:F253" si="93">SUM(D254:D255)</f>
        <v>4</v>
      </c>
      <c r="E253" s="86">
        <f t="shared" si="93"/>
        <v>4</v>
      </c>
      <c r="F253" s="92">
        <f t="shared" si="93"/>
        <v>2</v>
      </c>
      <c r="G253" s="87">
        <f t="shared" si="61"/>
        <v>50</v>
      </c>
      <c r="H253" s="88">
        <f>SUM(H255:H255)</f>
        <v>0</v>
      </c>
      <c r="I253" s="86">
        <f t="shared" si="62"/>
        <v>2</v>
      </c>
      <c r="J253" s="87">
        <f t="shared" si="63"/>
        <v>0</v>
      </c>
      <c r="K253" s="88">
        <f>SUM(K255:K255)</f>
        <v>0</v>
      </c>
      <c r="L253" s="88">
        <f t="shared" si="64"/>
        <v>-4</v>
      </c>
      <c r="M253" s="87">
        <f t="shared" si="65"/>
        <v>-100</v>
      </c>
      <c r="N253" s="100"/>
    </row>
    <row r="254" s="3" customFormat="1" spans="1:14">
      <c r="A254" s="83" t="s">
        <v>155</v>
      </c>
      <c r="B254" s="84">
        <v>2069901</v>
      </c>
      <c r="C254" s="89" t="s">
        <v>342</v>
      </c>
      <c r="D254" s="86"/>
      <c r="E254" s="86">
        <v>4</v>
      </c>
      <c r="F254" s="19">
        <v>2</v>
      </c>
      <c r="G254" s="87">
        <f t="shared" si="61"/>
        <v>50</v>
      </c>
      <c r="H254" s="88"/>
      <c r="I254" s="86">
        <f t="shared" si="62"/>
        <v>2</v>
      </c>
      <c r="J254" s="87">
        <f t="shared" si="63"/>
        <v>0</v>
      </c>
      <c r="K254" s="88"/>
      <c r="L254" s="88">
        <f t="shared" si="64"/>
        <v>0</v>
      </c>
      <c r="M254" s="87">
        <f t="shared" si="65"/>
        <v>0</v>
      </c>
      <c r="N254" s="100"/>
    </row>
    <row r="255" s="3" customFormat="1" spans="1:14">
      <c r="A255" s="83" t="s">
        <v>155</v>
      </c>
      <c r="B255" s="84">
        <v>2069999</v>
      </c>
      <c r="C255" s="90" t="s">
        <v>343</v>
      </c>
      <c r="D255" s="86">
        <v>4</v>
      </c>
      <c r="E255" s="86"/>
      <c r="F255" s="19"/>
      <c r="G255" s="87">
        <f t="shared" si="61"/>
        <v>0</v>
      </c>
      <c r="H255" s="88"/>
      <c r="I255" s="86">
        <f t="shared" si="62"/>
        <v>0</v>
      </c>
      <c r="J255" s="87">
        <f t="shared" si="63"/>
        <v>0</v>
      </c>
      <c r="K255" s="88"/>
      <c r="L255" s="88">
        <f t="shared" si="64"/>
        <v>-4</v>
      </c>
      <c r="M255" s="87">
        <f t="shared" si="65"/>
        <v>-100</v>
      </c>
      <c r="N255" s="100"/>
    </row>
    <row r="256" s="3" customFormat="1" spans="1:14">
      <c r="A256" s="83" t="s">
        <v>151</v>
      </c>
      <c r="B256" s="84">
        <v>207</v>
      </c>
      <c r="C256" s="85" t="s">
        <v>344</v>
      </c>
      <c r="D256" s="86">
        <f t="shared" ref="D256:F256" si="94">SUM(D257,D265,D267,D270,D276,D272)</f>
        <v>742</v>
      </c>
      <c r="E256" s="86">
        <f t="shared" si="94"/>
        <v>742</v>
      </c>
      <c r="F256" s="86">
        <f t="shared" si="94"/>
        <v>804</v>
      </c>
      <c r="G256" s="87">
        <f t="shared" si="61"/>
        <v>108.355795148248</v>
      </c>
      <c r="H256" s="88">
        <f>SUM(H257,H265,H267,H270,H276,H272)</f>
        <v>813</v>
      </c>
      <c r="I256" s="86">
        <f t="shared" si="62"/>
        <v>-9</v>
      </c>
      <c r="J256" s="87">
        <f t="shared" si="63"/>
        <v>-1.1070110701107</v>
      </c>
      <c r="K256" s="88">
        <f>SUM(K257,K265,K267,K270,K276,K272)</f>
        <v>275</v>
      </c>
      <c r="L256" s="88">
        <f t="shared" si="64"/>
        <v>-467</v>
      </c>
      <c r="M256" s="87">
        <f t="shared" si="65"/>
        <v>-62.9380053908356</v>
      </c>
      <c r="N256" s="100"/>
    </row>
    <row r="257" s="3" customFormat="1" spans="1:14">
      <c r="A257" s="83" t="s">
        <v>153</v>
      </c>
      <c r="B257" s="84">
        <v>20701</v>
      </c>
      <c r="C257" s="85" t="s">
        <v>345</v>
      </c>
      <c r="D257" s="86">
        <f t="shared" ref="D257:F257" si="95">SUM(D258:D264)</f>
        <v>326</v>
      </c>
      <c r="E257" s="86">
        <f t="shared" si="95"/>
        <v>542</v>
      </c>
      <c r="F257" s="19">
        <f t="shared" si="95"/>
        <v>612</v>
      </c>
      <c r="G257" s="87">
        <f t="shared" si="61"/>
        <v>112.915129151292</v>
      </c>
      <c r="H257" s="88">
        <f>SUM(H258:H264)</f>
        <v>649</v>
      </c>
      <c r="I257" s="86">
        <f t="shared" si="62"/>
        <v>-37</v>
      </c>
      <c r="J257" s="87">
        <f t="shared" si="63"/>
        <v>-5.70107858243451</v>
      </c>
      <c r="K257" s="88">
        <f>SUM(K258:K264)</f>
        <v>131</v>
      </c>
      <c r="L257" s="88">
        <f t="shared" si="64"/>
        <v>-195</v>
      </c>
      <c r="M257" s="87">
        <f t="shared" si="65"/>
        <v>-59.8159509202454</v>
      </c>
      <c r="N257" s="100"/>
    </row>
    <row r="258" s="3" customFormat="1" spans="1:14">
      <c r="A258" s="83" t="s">
        <v>155</v>
      </c>
      <c r="B258" s="84">
        <v>2070101</v>
      </c>
      <c r="C258" s="85" t="s">
        <v>156</v>
      </c>
      <c r="D258" s="86">
        <v>47</v>
      </c>
      <c r="E258" s="86">
        <v>47</v>
      </c>
      <c r="F258" s="110">
        <v>51</v>
      </c>
      <c r="G258" s="87">
        <f t="shared" si="61"/>
        <v>108.510638297872</v>
      </c>
      <c r="H258" s="111">
        <v>45</v>
      </c>
      <c r="I258" s="86">
        <f t="shared" si="62"/>
        <v>6</v>
      </c>
      <c r="J258" s="87">
        <f t="shared" si="63"/>
        <v>13.3333333333333</v>
      </c>
      <c r="K258" s="88">
        <v>16</v>
      </c>
      <c r="L258" s="88">
        <f t="shared" si="64"/>
        <v>-31</v>
      </c>
      <c r="M258" s="87">
        <f t="shared" si="65"/>
        <v>-65.9574468085106</v>
      </c>
      <c r="N258" s="100"/>
    </row>
    <row r="259" s="3" customFormat="1" hidden="1" spans="1:14">
      <c r="A259" s="83" t="s">
        <v>155</v>
      </c>
      <c r="B259" s="84">
        <v>2070102</v>
      </c>
      <c r="C259" s="85" t="s">
        <v>157</v>
      </c>
      <c r="D259" s="86"/>
      <c r="E259" s="86"/>
      <c r="F259" s="110"/>
      <c r="G259" s="87">
        <f t="shared" si="61"/>
        <v>0</v>
      </c>
      <c r="H259" s="111"/>
      <c r="I259" s="86">
        <f t="shared" si="62"/>
        <v>0</v>
      </c>
      <c r="J259" s="87">
        <f t="shared" si="63"/>
        <v>0</v>
      </c>
      <c r="K259" s="88"/>
      <c r="L259" s="88">
        <f t="shared" si="64"/>
        <v>0</v>
      </c>
      <c r="M259" s="87">
        <f t="shared" si="65"/>
        <v>0</v>
      </c>
      <c r="N259" s="100"/>
    </row>
    <row r="260" s="3" customFormat="1" hidden="1" spans="1:14">
      <c r="A260" s="83" t="s">
        <v>155</v>
      </c>
      <c r="B260" s="84">
        <v>2070108</v>
      </c>
      <c r="C260" s="85" t="s">
        <v>346</v>
      </c>
      <c r="D260" s="86"/>
      <c r="E260" s="86"/>
      <c r="F260" s="110"/>
      <c r="G260" s="87">
        <f t="shared" si="61"/>
        <v>0</v>
      </c>
      <c r="H260" s="111"/>
      <c r="I260" s="86">
        <f t="shared" si="62"/>
        <v>0</v>
      </c>
      <c r="J260" s="87">
        <f t="shared" si="63"/>
        <v>0</v>
      </c>
      <c r="K260" s="88"/>
      <c r="L260" s="88">
        <f t="shared" si="64"/>
        <v>0</v>
      </c>
      <c r="M260" s="87">
        <f t="shared" si="65"/>
        <v>0</v>
      </c>
      <c r="N260" s="100"/>
    </row>
    <row r="261" s="3" customFormat="1" spans="1:14">
      <c r="A261" s="83" t="s">
        <v>155</v>
      </c>
      <c r="B261" s="84">
        <v>2070109</v>
      </c>
      <c r="C261" s="85" t="s">
        <v>347</v>
      </c>
      <c r="D261" s="86">
        <f>60+125</f>
        <v>185</v>
      </c>
      <c r="E261" s="86">
        <f>60+125</f>
        <v>185</v>
      </c>
      <c r="F261" s="110">
        <v>169</v>
      </c>
      <c r="G261" s="87">
        <f t="shared" si="61"/>
        <v>91.3513513513514</v>
      </c>
      <c r="H261" s="111">
        <v>188</v>
      </c>
      <c r="I261" s="86">
        <f t="shared" si="62"/>
        <v>-19</v>
      </c>
      <c r="J261" s="87">
        <f t="shared" si="63"/>
        <v>-10.1063829787234</v>
      </c>
      <c r="K261" s="88">
        <v>37</v>
      </c>
      <c r="L261" s="88">
        <f t="shared" si="64"/>
        <v>-148</v>
      </c>
      <c r="M261" s="87">
        <f t="shared" si="65"/>
        <v>-80</v>
      </c>
      <c r="N261" s="100"/>
    </row>
    <row r="262" s="3" customFormat="1" spans="1:14">
      <c r="A262" s="83" t="s">
        <v>155</v>
      </c>
      <c r="B262" s="84">
        <v>2070112</v>
      </c>
      <c r="C262" s="85" t="s">
        <v>348</v>
      </c>
      <c r="D262" s="86"/>
      <c r="E262" s="86"/>
      <c r="F262" s="110"/>
      <c r="G262" s="87">
        <f t="shared" si="61"/>
        <v>0</v>
      </c>
      <c r="H262" s="111">
        <v>19</v>
      </c>
      <c r="I262" s="86">
        <f t="shared" si="62"/>
        <v>-19</v>
      </c>
      <c r="J262" s="87">
        <f t="shared" si="63"/>
        <v>-100</v>
      </c>
      <c r="K262" s="88"/>
      <c r="L262" s="88">
        <f t="shared" si="64"/>
        <v>0</v>
      </c>
      <c r="M262" s="87">
        <f t="shared" si="65"/>
        <v>0</v>
      </c>
      <c r="N262" s="100"/>
    </row>
    <row r="263" s="3" customFormat="1" hidden="1" spans="1:14">
      <c r="A263" s="83" t="s">
        <v>155</v>
      </c>
      <c r="B263" s="84">
        <v>2070113</v>
      </c>
      <c r="C263" s="85" t="s">
        <v>349</v>
      </c>
      <c r="D263" s="86"/>
      <c r="E263" s="86"/>
      <c r="F263" s="110"/>
      <c r="G263" s="87">
        <f t="shared" ref="G263:G326" si="96">IF(E263=0,,F263/E263*100)</f>
        <v>0</v>
      </c>
      <c r="H263" s="111"/>
      <c r="I263" s="86">
        <f t="shared" ref="I263:I326" si="97">F263-H263</f>
        <v>0</v>
      </c>
      <c r="J263" s="87">
        <f t="shared" ref="J263:J326" si="98">IF(H263=0,,I263/H263*100)</f>
        <v>0</v>
      </c>
      <c r="K263" s="88"/>
      <c r="L263" s="88">
        <f t="shared" ref="L263:L326" si="99">K263-D263</f>
        <v>0</v>
      </c>
      <c r="M263" s="87">
        <f t="shared" ref="M263:M326" si="100">IF(D263=0,,L263/D263*100)</f>
        <v>0</v>
      </c>
      <c r="N263" s="100"/>
    </row>
    <row r="264" s="3" customFormat="1" spans="1:14">
      <c r="A264" s="83" t="s">
        <v>155</v>
      </c>
      <c r="B264" s="84">
        <v>2070199</v>
      </c>
      <c r="C264" s="85" t="s">
        <v>350</v>
      </c>
      <c r="D264" s="86">
        <f>48+16+30</f>
        <v>94</v>
      </c>
      <c r="E264" s="86">
        <v>310</v>
      </c>
      <c r="F264" s="110">
        <v>392</v>
      </c>
      <c r="G264" s="87">
        <f t="shared" si="96"/>
        <v>126.451612903226</v>
      </c>
      <c r="H264" s="111">
        <v>397</v>
      </c>
      <c r="I264" s="86">
        <f t="shared" si="97"/>
        <v>-5</v>
      </c>
      <c r="J264" s="87">
        <f t="shared" si="98"/>
        <v>-1.25944584382872</v>
      </c>
      <c r="K264" s="88">
        <f>30+48</f>
        <v>78</v>
      </c>
      <c r="L264" s="88">
        <f t="shared" si="99"/>
        <v>-16</v>
      </c>
      <c r="M264" s="87">
        <f t="shared" si="100"/>
        <v>-17.0212765957447</v>
      </c>
      <c r="N264" s="100"/>
    </row>
    <row r="265" s="3" customFormat="1" spans="1:14">
      <c r="A265" s="83" t="s">
        <v>153</v>
      </c>
      <c r="B265" s="84">
        <v>20702</v>
      </c>
      <c r="C265" s="85" t="s">
        <v>351</v>
      </c>
      <c r="D265" s="86">
        <f t="shared" ref="D265:F265" si="101">SUM(D266:D266)</f>
        <v>0</v>
      </c>
      <c r="E265" s="86">
        <f t="shared" si="101"/>
        <v>0</v>
      </c>
      <c r="F265" s="19">
        <f t="shared" si="101"/>
        <v>0</v>
      </c>
      <c r="G265" s="87">
        <f t="shared" si="96"/>
        <v>0</v>
      </c>
      <c r="H265" s="88">
        <f>SUM(H266:H266)</f>
        <v>0</v>
      </c>
      <c r="I265" s="86">
        <f t="shared" si="97"/>
        <v>0</v>
      </c>
      <c r="J265" s="87">
        <f t="shared" si="98"/>
        <v>0</v>
      </c>
      <c r="K265" s="88">
        <f>SUM(K266:K266)</f>
        <v>0</v>
      </c>
      <c r="L265" s="88">
        <f t="shared" si="99"/>
        <v>0</v>
      </c>
      <c r="M265" s="87">
        <f t="shared" si="100"/>
        <v>0</v>
      </c>
      <c r="N265" s="100"/>
    </row>
    <row r="266" s="3" customFormat="1" hidden="1" spans="1:14">
      <c r="A266" s="83" t="s">
        <v>155</v>
      </c>
      <c r="B266" s="84">
        <v>2070299</v>
      </c>
      <c r="C266" s="85" t="s">
        <v>352</v>
      </c>
      <c r="D266" s="86"/>
      <c r="E266" s="86"/>
      <c r="F266" s="19"/>
      <c r="G266" s="87">
        <f t="shared" si="96"/>
        <v>0</v>
      </c>
      <c r="H266" s="88"/>
      <c r="I266" s="86">
        <f t="shared" si="97"/>
        <v>0</v>
      </c>
      <c r="J266" s="87">
        <f t="shared" si="98"/>
        <v>0</v>
      </c>
      <c r="K266" s="88"/>
      <c r="L266" s="88">
        <f t="shared" si="99"/>
        <v>0</v>
      </c>
      <c r="M266" s="87">
        <f t="shared" si="100"/>
        <v>0</v>
      </c>
      <c r="N266" s="100"/>
    </row>
    <row r="267" s="3" customFormat="1" spans="1:14">
      <c r="A267" s="83" t="s">
        <v>153</v>
      </c>
      <c r="B267" s="84">
        <v>20703</v>
      </c>
      <c r="C267" s="85" t="s">
        <v>353</v>
      </c>
      <c r="D267" s="86">
        <f t="shared" ref="D267:F267" si="102">SUM(D268:D269)</f>
        <v>43</v>
      </c>
      <c r="E267" s="86">
        <f t="shared" si="102"/>
        <v>43</v>
      </c>
      <c r="F267" s="19">
        <f t="shared" si="102"/>
        <v>41</v>
      </c>
      <c r="G267" s="87">
        <f t="shared" si="96"/>
        <v>95.3488372093023</v>
      </c>
      <c r="H267" s="88">
        <f>SUM(H268:H269)</f>
        <v>55</v>
      </c>
      <c r="I267" s="86">
        <f t="shared" si="97"/>
        <v>-14</v>
      </c>
      <c r="J267" s="87">
        <f t="shared" si="98"/>
        <v>-25.4545454545455</v>
      </c>
      <c r="K267" s="88">
        <f>SUM(K268:K269)</f>
        <v>33</v>
      </c>
      <c r="L267" s="88">
        <f t="shared" si="99"/>
        <v>-10</v>
      </c>
      <c r="M267" s="87">
        <f t="shared" si="100"/>
        <v>-23.2558139534884</v>
      </c>
      <c r="N267" s="100"/>
    </row>
    <row r="268" s="3" customFormat="1" spans="1:14">
      <c r="A268" s="83" t="s">
        <v>155</v>
      </c>
      <c r="B268" s="84">
        <v>2070308</v>
      </c>
      <c r="C268" s="85" t="s">
        <v>354</v>
      </c>
      <c r="D268" s="86">
        <v>43</v>
      </c>
      <c r="E268" s="86">
        <v>43</v>
      </c>
      <c r="F268" s="110">
        <v>41</v>
      </c>
      <c r="G268" s="87">
        <f t="shared" si="96"/>
        <v>95.3488372093023</v>
      </c>
      <c r="H268" s="111">
        <v>55</v>
      </c>
      <c r="I268" s="86">
        <f t="shared" si="97"/>
        <v>-14</v>
      </c>
      <c r="J268" s="87">
        <f t="shared" si="98"/>
        <v>-25.4545454545455</v>
      </c>
      <c r="K268" s="88">
        <v>33</v>
      </c>
      <c r="L268" s="88">
        <f t="shared" si="99"/>
        <v>-10</v>
      </c>
      <c r="M268" s="87">
        <f t="shared" si="100"/>
        <v>-23.2558139534884</v>
      </c>
      <c r="N268" s="100"/>
    </row>
    <row r="269" s="3" customFormat="1" hidden="1" spans="1:14">
      <c r="A269" s="83" t="s">
        <v>155</v>
      </c>
      <c r="B269" s="84">
        <v>2070399</v>
      </c>
      <c r="C269" s="85" t="s">
        <v>355</v>
      </c>
      <c r="D269" s="86"/>
      <c r="E269" s="86"/>
      <c r="F269" s="110"/>
      <c r="G269" s="87">
        <f t="shared" si="96"/>
        <v>0</v>
      </c>
      <c r="H269" s="111"/>
      <c r="I269" s="86">
        <f t="shared" si="97"/>
        <v>0</v>
      </c>
      <c r="J269" s="87">
        <f t="shared" si="98"/>
        <v>0</v>
      </c>
      <c r="K269" s="88"/>
      <c r="L269" s="88">
        <f t="shared" si="99"/>
        <v>0</v>
      </c>
      <c r="M269" s="87">
        <f t="shared" si="100"/>
        <v>0</v>
      </c>
      <c r="N269" s="100"/>
    </row>
    <row r="270" s="3" customFormat="1" spans="1:14">
      <c r="A270" s="83" t="s">
        <v>153</v>
      </c>
      <c r="B270" s="84">
        <v>20706</v>
      </c>
      <c r="C270" s="85" t="s">
        <v>356</v>
      </c>
      <c r="D270" s="86">
        <f t="shared" ref="D270:F270" si="103">SUM(D271:D271)</f>
        <v>0</v>
      </c>
      <c r="E270" s="86">
        <f t="shared" si="103"/>
        <v>0</v>
      </c>
      <c r="F270" s="19">
        <f t="shared" si="103"/>
        <v>0</v>
      </c>
      <c r="G270" s="87">
        <f t="shared" si="96"/>
        <v>0</v>
      </c>
      <c r="H270" s="88">
        <f>SUM(H271:H271)</f>
        <v>0</v>
      </c>
      <c r="I270" s="86">
        <f t="shared" si="97"/>
        <v>0</v>
      </c>
      <c r="J270" s="87">
        <f t="shared" si="98"/>
        <v>0</v>
      </c>
      <c r="K270" s="88">
        <f>SUM(K271:K271)</f>
        <v>0</v>
      </c>
      <c r="L270" s="88">
        <f t="shared" si="99"/>
        <v>0</v>
      </c>
      <c r="M270" s="87">
        <f t="shared" si="100"/>
        <v>0</v>
      </c>
      <c r="N270" s="100"/>
    </row>
    <row r="271" s="3" customFormat="1" hidden="1" spans="1:14">
      <c r="A271" s="83" t="s">
        <v>155</v>
      </c>
      <c r="B271" s="84">
        <v>2070699</v>
      </c>
      <c r="C271" s="85" t="s">
        <v>357</v>
      </c>
      <c r="D271" s="86"/>
      <c r="E271" s="86"/>
      <c r="F271" s="19"/>
      <c r="G271" s="87">
        <f t="shared" si="96"/>
        <v>0</v>
      </c>
      <c r="H271" s="88"/>
      <c r="I271" s="86">
        <f t="shared" si="97"/>
        <v>0</v>
      </c>
      <c r="J271" s="87">
        <f t="shared" si="98"/>
        <v>0</v>
      </c>
      <c r="K271" s="88"/>
      <c r="L271" s="88">
        <f t="shared" si="99"/>
        <v>0</v>
      </c>
      <c r="M271" s="87">
        <f t="shared" si="100"/>
        <v>0</v>
      </c>
      <c r="N271" s="100"/>
    </row>
    <row r="272" s="3" customFormat="1" spans="1:14">
      <c r="A272" s="83" t="s">
        <v>153</v>
      </c>
      <c r="B272" s="84">
        <v>20708</v>
      </c>
      <c r="C272" s="85" t="s">
        <v>358</v>
      </c>
      <c r="D272" s="86">
        <f t="shared" ref="D272:F272" si="104">SUM(D273:D275)</f>
        <v>0</v>
      </c>
      <c r="E272" s="86">
        <f t="shared" si="104"/>
        <v>7</v>
      </c>
      <c r="F272" s="19">
        <f t="shared" si="104"/>
        <v>7</v>
      </c>
      <c r="G272" s="87">
        <f t="shared" si="96"/>
        <v>100</v>
      </c>
      <c r="H272" s="88">
        <f>SUM(H273:H275)</f>
        <v>64</v>
      </c>
      <c r="I272" s="86">
        <f t="shared" si="97"/>
        <v>-57</v>
      </c>
      <c r="J272" s="87">
        <f t="shared" si="98"/>
        <v>-89.0625</v>
      </c>
      <c r="K272" s="88">
        <f>SUM(K273:K275)</f>
        <v>0</v>
      </c>
      <c r="L272" s="88">
        <f t="shared" si="99"/>
        <v>0</v>
      </c>
      <c r="M272" s="87">
        <f t="shared" si="100"/>
        <v>0</v>
      </c>
      <c r="N272" s="100"/>
    </row>
    <row r="273" s="3" customFormat="1" spans="1:14">
      <c r="A273" s="83" t="s">
        <v>155</v>
      </c>
      <c r="B273" s="84">
        <v>2070801</v>
      </c>
      <c r="C273" s="85" t="s">
        <v>156</v>
      </c>
      <c r="D273" s="86"/>
      <c r="E273" s="86">
        <v>7</v>
      </c>
      <c r="F273" s="19">
        <v>7</v>
      </c>
      <c r="G273" s="87">
        <f t="shared" si="96"/>
        <v>100</v>
      </c>
      <c r="H273" s="88">
        <v>64</v>
      </c>
      <c r="I273" s="86">
        <f t="shared" si="97"/>
        <v>-57</v>
      </c>
      <c r="J273" s="87">
        <f t="shared" si="98"/>
        <v>-89.0625</v>
      </c>
      <c r="K273" s="88"/>
      <c r="L273" s="88">
        <f t="shared" si="99"/>
        <v>0</v>
      </c>
      <c r="M273" s="87">
        <f t="shared" si="100"/>
        <v>0</v>
      </c>
      <c r="N273" s="100"/>
    </row>
    <row r="274" s="3" customFormat="1" hidden="1" spans="1:14">
      <c r="A274" s="83" t="s">
        <v>155</v>
      </c>
      <c r="B274" s="84">
        <v>2070804</v>
      </c>
      <c r="C274" s="85" t="s">
        <v>359</v>
      </c>
      <c r="D274" s="86"/>
      <c r="E274" s="86"/>
      <c r="F274" s="110"/>
      <c r="G274" s="87">
        <f t="shared" si="96"/>
        <v>0</v>
      </c>
      <c r="H274" s="111"/>
      <c r="I274" s="86">
        <f t="shared" si="97"/>
        <v>0</v>
      </c>
      <c r="J274" s="87">
        <f t="shared" si="98"/>
        <v>0</v>
      </c>
      <c r="K274" s="88"/>
      <c r="L274" s="88">
        <f t="shared" si="99"/>
        <v>0</v>
      </c>
      <c r="M274" s="87">
        <f t="shared" si="100"/>
        <v>0</v>
      </c>
      <c r="N274" s="100"/>
    </row>
    <row r="275" s="3" customFormat="1" hidden="1" spans="1:14">
      <c r="A275" s="83" t="s">
        <v>155</v>
      </c>
      <c r="B275" s="84">
        <v>2070899</v>
      </c>
      <c r="C275" s="85" t="s">
        <v>360</v>
      </c>
      <c r="D275" s="86"/>
      <c r="E275" s="86"/>
      <c r="F275" s="19"/>
      <c r="G275" s="87">
        <f t="shared" si="96"/>
        <v>0</v>
      </c>
      <c r="H275" s="88"/>
      <c r="I275" s="86">
        <f t="shared" si="97"/>
        <v>0</v>
      </c>
      <c r="J275" s="87">
        <f t="shared" si="98"/>
        <v>0</v>
      </c>
      <c r="K275" s="88"/>
      <c r="L275" s="88">
        <f t="shared" si="99"/>
        <v>0</v>
      </c>
      <c r="M275" s="87">
        <f t="shared" si="100"/>
        <v>0</v>
      </c>
      <c r="N275" s="100"/>
    </row>
    <row r="276" s="3" customFormat="1" spans="1:14">
      <c r="A276" s="83" t="s">
        <v>153</v>
      </c>
      <c r="B276" s="84">
        <v>20799</v>
      </c>
      <c r="C276" s="85" t="s">
        <v>361</v>
      </c>
      <c r="D276" s="86">
        <f t="shared" ref="D276:F276" si="105">SUM(D277:D277)</f>
        <v>373</v>
      </c>
      <c r="E276" s="86">
        <f t="shared" si="105"/>
        <v>150</v>
      </c>
      <c r="F276" s="19">
        <f t="shared" si="105"/>
        <v>144</v>
      </c>
      <c r="G276" s="87">
        <f t="shared" si="96"/>
        <v>96</v>
      </c>
      <c r="H276" s="88">
        <f>SUM(H277:H277)</f>
        <v>45</v>
      </c>
      <c r="I276" s="86">
        <f t="shared" si="97"/>
        <v>99</v>
      </c>
      <c r="J276" s="87">
        <f t="shared" si="98"/>
        <v>220</v>
      </c>
      <c r="K276" s="88">
        <f>SUM(K277:K277)</f>
        <v>111</v>
      </c>
      <c r="L276" s="88">
        <f t="shared" si="99"/>
        <v>-262</v>
      </c>
      <c r="M276" s="87">
        <f t="shared" si="100"/>
        <v>-70.2412868632708</v>
      </c>
      <c r="N276" s="100"/>
    </row>
    <row r="277" s="3" customFormat="1" spans="1:14">
      <c r="A277" s="83" t="s">
        <v>155</v>
      </c>
      <c r="B277" s="84">
        <v>2079999</v>
      </c>
      <c r="C277" s="85" t="s">
        <v>362</v>
      </c>
      <c r="D277" s="86">
        <f>269+104</f>
        <v>373</v>
      </c>
      <c r="E277" s="86">
        <v>150</v>
      </c>
      <c r="F277" s="110">
        <v>144</v>
      </c>
      <c r="G277" s="87">
        <f t="shared" si="96"/>
        <v>96</v>
      </c>
      <c r="H277" s="111">
        <v>45</v>
      </c>
      <c r="I277" s="86">
        <f t="shared" si="97"/>
        <v>99</v>
      </c>
      <c r="J277" s="87">
        <f t="shared" si="98"/>
        <v>220</v>
      </c>
      <c r="K277" s="88">
        <v>111</v>
      </c>
      <c r="L277" s="88">
        <f t="shared" si="99"/>
        <v>-262</v>
      </c>
      <c r="M277" s="87">
        <f t="shared" si="100"/>
        <v>-70.2412868632708</v>
      </c>
      <c r="N277" s="100"/>
    </row>
    <row r="278" s="3" customFormat="1" spans="1:14">
      <c r="A278" s="83" t="s">
        <v>151</v>
      </c>
      <c r="B278" s="84">
        <v>208</v>
      </c>
      <c r="C278" s="85" t="s">
        <v>363</v>
      </c>
      <c r="D278" s="86">
        <f t="shared" ref="D278:F278" si="106">SUM(D279,D290,D296,D298,D306,D308,D311,D317,D321,D325,D332,D334,D336,D339,D342,D345,D348,D352,D356,D364,D361)</f>
        <v>7269</v>
      </c>
      <c r="E278" s="86">
        <f t="shared" si="106"/>
        <v>7052</v>
      </c>
      <c r="F278" s="86">
        <f t="shared" si="106"/>
        <v>7942</v>
      </c>
      <c r="G278" s="87">
        <f t="shared" si="96"/>
        <v>112.620533182076</v>
      </c>
      <c r="H278" s="88">
        <f>SUM(H279,H290,H296,H298,H306,H308,H311,H317,H321,H325,H332,H334,H336,H339,H342,H345,H348,H352,H356,H364,H361)</f>
        <v>6077</v>
      </c>
      <c r="I278" s="86">
        <f t="shared" si="97"/>
        <v>1865</v>
      </c>
      <c r="J278" s="87">
        <f t="shared" si="98"/>
        <v>30.6894849432286</v>
      </c>
      <c r="K278" s="88">
        <f>SUM(K279,K290,K296,K298,K306,K308,K311,K317,K321,K325,K332,K334,K336,K339,K342,K345,K348,K352,K356,K364,K361)</f>
        <v>9670</v>
      </c>
      <c r="L278" s="88">
        <f t="shared" si="99"/>
        <v>2401</v>
      </c>
      <c r="M278" s="87">
        <f t="shared" si="100"/>
        <v>33.0306782225891</v>
      </c>
      <c r="N278" s="100"/>
    </row>
    <row r="279" s="3" customFormat="1" spans="1:14">
      <c r="A279" s="83" t="s">
        <v>153</v>
      </c>
      <c r="B279" s="84">
        <v>20801</v>
      </c>
      <c r="C279" s="85" t="s">
        <v>364</v>
      </c>
      <c r="D279" s="86">
        <f t="shared" ref="D279:F279" si="107">SUM(D280:D289)</f>
        <v>644</v>
      </c>
      <c r="E279" s="86">
        <f t="shared" si="107"/>
        <v>479</v>
      </c>
      <c r="F279" s="86">
        <f t="shared" si="107"/>
        <v>462</v>
      </c>
      <c r="G279" s="87">
        <f t="shared" si="96"/>
        <v>96.4509394572025</v>
      </c>
      <c r="H279" s="88">
        <f>SUM(H280:H289)</f>
        <v>299</v>
      </c>
      <c r="I279" s="86">
        <f t="shared" si="97"/>
        <v>163</v>
      </c>
      <c r="J279" s="87">
        <f t="shared" si="98"/>
        <v>54.5150501672241</v>
      </c>
      <c r="K279" s="88">
        <f>SUM(K280:K289)</f>
        <v>222</v>
      </c>
      <c r="L279" s="88">
        <f t="shared" si="99"/>
        <v>-422</v>
      </c>
      <c r="M279" s="87">
        <f t="shared" si="100"/>
        <v>-65.527950310559</v>
      </c>
      <c r="N279" s="100"/>
    </row>
    <row r="280" s="3" customFormat="1" spans="1:14">
      <c r="A280" s="83" t="s">
        <v>155</v>
      </c>
      <c r="B280" s="84">
        <v>2080101</v>
      </c>
      <c r="C280" s="85" t="s">
        <v>156</v>
      </c>
      <c r="D280" s="86">
        <v>233</v>
      </c>
      <c r="E280" s="86">
        <v>200</v>
      </c>
      <c r="F280" s="114">
        <v>229</v>
      </c>
      <c r="G280" s="87">
        <f t="shared" si="96"/>
        <v>114.5</v>
      </c>
      <c r="H280" s="111">
        <v>214</v>
      </c>
      <c r="I280" s="86">
        <f t="shared" si="97"/>
        <v>15</v>
      </c>
      <c r="J280" s="87">
        <f t="shared" si="98"/>
        <v>7.00934579439252</v>
      </c>
      <c r="K280" s="88">
        <v>197</v>
      </c>
      <c r="L280" s="88">
        <f t="shared" si="99"/>
        <v>-36</v>
      </c>
      <c r="M280" s="87">
        <f t="shared" si="100"/>
        <v>-15.450643776824</v>
      </c>
      <c r="N280" s="100"/>
    </row>
    <row r="281" s="3" customFormat="1" spans="1:14">
      <c r="A281" s="83" t="s">
        <v>155</v>
      </c>
      <c r="B281" s="84">
        <v>2080102</v>
      </c>
      <c r="C281" s="85" t="s">
        <v>157</v>
      </c>
      <c r="D281" s="86"/>
      <c r="E281" s="86">
        <v>120</v>
      </c>
      <c r="F281" s="114">
        <v>135</v>
      </c>
      <c r="G281" s="87">
        <f t="shared" si="96"/>
        <v>112.5</v>
      </c>
      <c r="H281" s="111"/>
      <c r="I281" s="86">
        <f t="shared" si="97"/>
        <v>135</v>
      </c>
      <c r="J281" s="87">
        <f t="shared" si="98"/>
        <v>0</v>
      </c>
      <c r="K281" s="88"/>
      <c r="L281" s="88">
        <f t="shared" si="99"/>
        <v>0</v>
      </c>
      <c r="M281" s="87">
        <f t="shared" si="100"/>
        <v>0</v>
      </c>
      <c r="N281" s="100"/>
    </row>
    <row r="282" s="3" customFormat="1" hidden="1" spans="1:14">
      <c r="A282" s="83" t="s">
        <v>155</v>
      </c>
      <c r="B282" s="84">
        <v>2080104</v>
      </c>
      <c r="C282" s="85" t="s">
        <v>365</v>
      </c>
      <c r="D282" s="86"/>
      <c r="E282" s="86"/>
      <c r="F282" s="114"/>
      <c r="G282" s="87">
        <f t="shared" si="96"/>
        <v>0</v>
      </c>
      <c r="H282" s="111"/>
      <c r="I282" s="86">
        <f t="shared" si="97"/>
        <v>0</v>
      </c>
      <c r="J282" s="87">
        <f t="shared" si="98"/>
        <v>0</v>
      </c>
      <c r="K282" s="88"/>
      <c r="L282" s="88">
        <f t="shared" si="99"/>
        <v>0</v>
      </c>
      <c r="M282" s="87">
        <f t="shared" si="100"/>
        <v>0</v>
      </c>
      <c r="N282" s="100"/>
    </row>
    <row r="283" s="3" customFormat="1" hidden="1" spans="1:14">
      <c r="A283" s="83" t="s">
        <v>155</v>
      </c>
      <c r="B283" s="84">
        <v>2080105</v>
      </c>
      <c r="C283" s="85" t="s">
        <v>366</v>
      </c>
      <c r="D283" s="86"/>
      <c r="E283" s="86"/>
      <c r="F283" s="114"/>
      <c r="G283" s="87">
        <f t="shared" si="96"/>
        <v>0</v>
      </c>
      <c r="H283" s="111"/>
      <c r="I283" s="86">
        <f t="shared" si="97"/>
        <v>0</v>
      </c>
      <c r="J283" s="87">
        <f t="shared" si="98"/>
        <v>0</v>
      </c>
      <c r="K283" s="88"/>
      <c r="L283" s="88">
        <f t="shared" si="99"/>
        <v>0</v>
      </c>
      <c r="M283" s="87">
        <f t="shared" si="100"/>
        <v>0</v>
      </c>
      <c r="N283" s="100"/>
    </row>
    <row r="284" s="3" customFormat="1" spans="1:14">
      <c r="A284" s="83" t="s">
        <v>155</v>
      </c>
      <c r="B284" s="84">
        <v>2080107</v>
      </c>
      <c r="C284" s="85" t="s">
        <v>367</v>
      </c>
      <c r="D284" s="86"/>
      <c r="E284" s="86"/>
      <c r="F284" s="114">
        <v>1</v>
      </c>
      <c r="G284" s="87">
        <f t="shared" si="96"/>
        <v>0</v>
      </c>
      <c r="H284" s="111"/>
      <c r="I284" s="86">
        <f t="shared" si="97"/>
        <v>1</v>
      </c>
      <c r="J284" s="87">
        <f t="shared" si="98"/>
        <v>0</v>
      </c>
      <c r="K284" s="88"/>
      <c r="L284" s="88">
        <f t="shared" si="99"/>
        <v>0</v>
      </c>
      <c r="M284" s="87">
        <f t="shared" si="100"/>
        <v>0</v>
      </c>
      <c r="N284" s="100"/>
    </row>
    <row r="285" s="3" customFormat="1" hidden="1" spans="1:14">
      <c r="A285" s="83" t="s">
        <v>155</v>
      </c>
      <c r="B285" s="84">
        <v>2080108</v>
      </c>
      <c r="C285" s="85" t="s">
        <v>188</v>
      </c>
      <c r="D285" s="86"/>
      <c r="E285" s="86"/>
      <c r="F285" s="114"/>
      <c r="G285" s="87">
        <f t="shared" si="96"/>
        <v>0</v>
      </c>
      <c r="H285" s="111"/>
      <c r="I285" s="86">
        <f t="shared" si="97"/>
        <v>0</v>
      </c>
      <c r="J285" s="87">
        <f t="shared" si="98"/>
        <v>0</v>
      </c>
      <c r="K285" s="88"/>
      <c r="L285" s="88">
        <f t="shared" si="99"/>
        <v>0</v>
      </c>
      <c r="M285" s="87">
        <f t="shared" si="100"/>
        <v>0</v>
      </c>
      <c r="N285" s="100"/>
    </row>
    <row r="286" s="3" customFormat="1" spans="1:14">
      <c r="A286" s="83" t="s">
        <v>155</v>
      </c>
      <c r="B286" s="84">
        <v>2080109</v>
      </c>
      <c r="C286" s="85" t="s">
        <v>368</v>
      </c>
      <c r="D286" s="86">
        <v>41</v>
      </c>
      <c r="E286" s="86">
        <v>41</v>
      </c>
      <c r="F286" s="114">
        <v>32</v>
      </c>
      <c r="G286" s="87">
        <f t="shared" si="96"/>
        <v>78.0487804878049</v>
      </c>
      <c r="H286" s="111">
        <v>1</v>
      </c>
      <c r="I286" s="86">
        <f t="shared" si="97"/>
        <v>31</v>
      </c>
      <c r="J286" s="87">
        <f t="shared" si="98"/>
        <v>3100</v>
      </c>
      <c r="K286" s="88"/>
      <c r="L286" s="88">
        <f t="shared" si="99"/>
        <v>-41</v>
      </c>
      <c r="M286" s="87">
        <f t="shared" si="100"/>
        <v>-100</v>
      </c>
      <c r="N286" s="100"/>
    </row>
    <row r="287" s="3" customFormat="1" spans="1:14">
      <c r="A287" s="83" t="s">
        <v>155</v>
      </c>
      <c r="B287" s="84">
        <v>2080110</v>
      </c>
      <c r="C287" s="85" t="s">
        <v>369</v>
      </c>
      <c r="D287" s="86">
        <v>30</v>
      </c>
      <c r="E287" s="86">
        <v>30</v>
      </c>
      <c r="F287" s="114"/>
      <c r="G287" s="87">
        <f t="shared" si="96"/>
        <v>0</v>
      </c>
      <c r="H287" s="111"/>
      <c r="I287" s="86">
        <f t="shared" si="97"/>
        <v>0</v>
      </c>
      <c r="J287" s="87">
        <f t="shared" si="98"/>
        <v>0</v>
      </c>
      <c r="K287" s="88"/>
      <c r="L287" s="88">
        <f t="shared" si="99"/>
        <v>-30</v>
      </c>
      <c r="M287" s="87">
        <f t="shared" si="100"/>
        <v>-100</v>
      </c>
      <c r="N287" s="100"/>
    </row>
    <row r="288" s="3" customFormat="1" hidden="1" spans="1:14">
      <c r="A288" s="83" t="s">
        <v>155</v>
      </c>
      <c r="B288" s="84">
        <v>2080112</v>
      </c>
      <c r="C288" s="85" t="s">
        <v>370</v>
      </c>
      <c r="D288" s="86"/>
      <c r="E288" s="86"/>
      <c r="F288" s="114"/>
      <c r="G288" s="87">
        <f t="shared" si="96"/>
        <v>0</v>
      </c>
      <c r="H288" s="111"/>
      <c r="I288" s="86">
        <f t="shared" si="97"/>
        <v>0</v>
      </c>
      <c r="J288" s="87">
        <f t="shared" si="98"/>
        <v>0</v>
      </c>
      <c r="K288" s="88"/>
      <c r="L288" s="88">
        <f t="shared" si="99"/>
        <v>0</v>
      </c>
      <c r="M288" s="87">
        <f t="shared" si="100"/>
        <v>0</v>
      </c>
      <c r="N288" s="100"/>
    </row>
    <row r="289" s="3" customFormat="1" spans="1:14">
      <c r="A289" s="83" t="s">
        <v>155</v>
      </c>
      <c r="B289" s="84">
        <v>2080199</v>
      </c>
      <c r="C289" s="85" t="s">
        <v>371</v>
      </c>
      <c r="D289" s="86">
        <f>59+262+19</f>
        <v>340</v>
      </c>
      <c r="E289" s="86">
        <f>59+262+19-135-117</f>
        <v>88</v>
      </c>
      <c r="F289" s="114">
        <v>65</v>
      </c>
      <c r="G289" s="87">
        <f t="shared" si="96"/>
        <v>73.8636363636364</v>
      </c>
      <c r="H289" s="111">
        <v>84</v>
      </c>
      <c r="I289" s="86">
        <f t="shared" si="97"/>
        <v>-19</v>
      </c>
      <c r="J289" s="87">
        <f t="shared" si="98"/>
        <v>-22.6190476190476</v>
      </c>
      <c r="K289" s="88">
        <v>25</v>
      </c>
      <c r="L289" s="88">
        <f t="shared" si="99"/>
        <v>-315</v>
      </c>
      <c r="M289" s="87">
        <f t="shared" si="100"/>
        <v>-92.6470588235294</v>
      </c>
      <c r="N289" s="100"/>
    </row>
    <row r="290" s="3" customFormat="1" spans="1:14">
      <c r="A290" s="83" t="s">
        <v>153</v>
      </c>
      <c r="B290" s="84">
        <v>20802</v>
      </c>
      <c r="C290" s="85" t="s">
        <v>372</v>
      </c>
      <c r="D290" s="86">
        <f t="shared" ref="D290:F290" si="108">SUM(D291:D295)</f>
        <v>277</v>
      </c>
      <c r="E290" s="86">
        <f t="shared" si="108"/>
        <v>157</v>
      </c>
      <c r="F290" s="86">
        <f t="shared" si="108"/>
        <v>127</v>
      </c>
      <c r="G290" s="87">
        <f t="shared" si="96"/>
        <v>80.8917197452229</v>
      </c>
      <c r="H290" s="88">
        <f>SUM(H291:H295)</f>
        <v>114</v>
      </c>
      <c r="I290" s="86">
        <f t="shared" si="97"/>
        <v>13</v>
      </c>
      <c r="J290" s="87">
        <f t="shared" si="98"/>
        <v>11.4035087719298</v>
      </c>
      <c r="K290" s="88">
        <f>SUM(K291:K295)</f>
        <v>477</v>
      </c>
      <c r="L290" s="88">
        <f t="shared" si="99"/>
        <v>200</v>
      </c>
      <c r="M290" s="87">
        <f t="shared" si="100"/>
        <v>72.202166064982</v>
      </c>
      <c r="N290" s="100"/>
    </row>
    <row r="291" s="3" customFormat="1" spans="1:14">
      <c r="A291" s="83" t="s">
        <v>155</v>
      </c>
      <c r="B291" s="84">
        <v>2080201</v>
      </c>
      <c r="C291" s="85" t="s">
        <v>156</v>
      </c>
      <c r="D291" s="86">
        <f>37+40</f>
        <v>77</v>
      </c>
      <c r="E291" s="86">
        <f>37+40</f>
        <v>77</v>
      </c>
      <c r="F291" s="114">
        <v>49</v>
      </c>
      <c r="G291" s="87">
        <f t="shared" si="96"/>
        <v>63.6363636363636</v>
      </c>
      <c r="H291" s="111">
        <v>45</v>
      </c>
      <c r="I291" s="86">
        <f t="shared" si="97"/>
        <v>4</v>
      </c>
      <c r="J291" s="87">
        <f t="shared" si="98"/>
        <v>8.88888888888889</v>
      </c>
      <c r="K291" s="88">
        <v>54</v>
      </c>
      <c r="L291" s="88">
        <f t="shared" si="99"/>
        <v>-23</v>
      </c>
      <c r="M291" s="87">
        <f t="shared" si="100"/>
        <v>-29.8701298701299</v>
      </c>
      <c r="N291" s="100"/>
    </row>
    <row r="292" s="3" customFormat="1" spans="1:14">
      <c r="A292" s="83" t="s">
        <v>155</v>
      </c>
      <c r="B292" s="84">
        <v>2080202</v>
      </c>
      <c r="C292" s="85" t="s">
        <v>157</v>
      </c>
      <c r="D292" s="86"/>
      <c r="E292" s="86">
        <v>45</v>
      </c>
      <c r="F292" s="114">
        <v>44</v>
      </c>
      <c r="G292" s="87">
        <f t="shared" si="96"/>
        <v>97.7777777777778</v>
      </c>
      <c r="H292" s="111">
        <v>2</v>
      </c>
      <c r="I292" s="86">
        <f t="shared" si="97"/>
        <v>42</v>
      </c>
      <c r="J292" s="87">
        <f t="shared" si="98"/>
        <v>2100</v>
      </c>
      <c r="K292" s="88"/>
      <c r="L292" s="88">
        <f t="shared" si="99"/>
        <v>0</v>
      </c>
      <c r="M292" s="87">
        <f t="shared" si="100"/>
        <v>0</v>
      </c>
      <c r="N292" s="100"/>
    </row>
    <row r="293" s="3" customFormat="1" spans="1:14">
      <c r="A293" s="83" t="s">
        <v>155</v>
      </c>
      <c r="B293" s="84">
        <v>2080207</v>
      </c>
      <c r="C293" s="85" t="s">
        <v>373</v>
      </c>
      <c r="D293" s="86"/>
      <c r="E293" s="86"/>
      <c r="F293" s="114"/>
      <c r="G293" s="87">
        <f t="shared" si="96"/>
        <v>0</v>
      </c>
      <c r="H293" s="111">
        <v>2</v>
      </c>
      <c r="I293" s="86">
        <f t="shared" si="97"/>
        <v>-2</v>
      </c>
      <c r="J293" s="87">
        <f t="shared" si="98"/>
        <v>-100</v>
      </c>
      <c r="K293" s="88"/>
      <c r="L293" s="88">
        <f t="shared" si="99"/>
        <v>0</v>
      </c>
      <c r="M293" s="87">
        <f t="shared" si="100"/>
        <v>0</v>
      </c>
      <c r="N293" s="100"/>
    </row>
    <row r="294" s="3" customFormat="1" spans="1:14">
      <c r="A294" s="83" t="s">
        <v>155</v>
      </c>
      <c r="B294" s="84">
        <v>2080208</v>
      </c>
      <c r="C294" s="85" t="s">
        <v>374</v>
      </c>
      <c r="D294" s="86"/>
      <c r="E294" s="86"/>
      <c r="F294" s="114"/>
      <c r="G294" s="87">
        <f t="shared" si="96"/>
        <v>0</v>
      </c>
      <c r="H294" s="111">
        <v>30</v>
      </c>
      <c r="I294" s="86">
        <f t="shared" si="97"/>
        <v>-30</v>
      </c>
      <c r="J294" s="87">
        <f t="shared" si="98"/>
        <v>-100</v>
      </c>
      <c r="K294" s="88"/>
      <c r="L294" s="88">
        <f t="shared" si="99"/>
        <v>0</v>
      </c>
      <c r="M294" s="87">
        <f t="shared" si="100"/>
        <v>0</v>
      </c>
      <c r="N294" s="100"/>
    </row>
    <row r="295" s="3" customFormat="1" spans="1:14">
      <c r="A295" s="83" t="s">
        <v>155</v>
      </c>
      <c r="B295" s="84">
        <v>2080299</v>
      </c>
      <c r="C295" s="85" t="s">
        <v>375</v>
      </c>
      <c r="D295" s="86">
        <f>169+31</f>
        <v>200</v>
      </c>
      <c r="E295" s="86">
        <v>35</v>
      </c>
      <c r="F295" s="114">
        <v>34</v>
      </c>
      <c r="G295" s="87">
        <f t="shared" si="96"/>
        <v>97.1428571428571</v>
      </c>
      <c r="H295" s="111">
        <v>35</v>
      </c>
      <c r="I295" s="86">
        <f t="shared" si="97"/>
        <v>-1</v>
      </c>
      <c r="J295" s="87">
        <f t="shared" si="98"/>
        <v>-2.85714285714286</v>
      </c>
      <c r="K295" s="88">
        <f>1+11+411</f>
        <v>423</v>
      </c>
      <c r="L295" s="88">
        <f t="shared" si="99"/>
        <v>223</v>
      </c>
      <c r="M295" s="87">
        <f t="shared" si="100"/>
        <v>111.5</v>
      </c>
      <c r="N295" s="100"/>
    </row>
    <row r="296" s="3" customFormat="1" spans="1:14">
      <c r="A296" s="83" t="s">
        <v>153</v>
      </c>
      <c r="B296" s="84">
        <v>20804</v>
      </c>
      <c r="C296" s="85" t="s">
        <v>376</v>
      </c>
      <c r="D296" s="86">
        <f t="shared" ref="D296:F296" si="109">SUM(D297)</f>
        <v>0</v>
      </c>
      <c r="E296" s="86">
        <f t="shared" si="109"/>
        <v>0</v>
      </c>
      <c r="F296" s="86">
        <f t="shared" si="109"/>
        <v>0</v>
      </c>
      <c r="G296" s="87">
        <f t="shared" si="96"/>
        <v>0</v>
      </c>
      <c r="H296" s="88">
        <f>SUM(H297)</f>
        <v>0</v>
      </c>
      <c r="I296" s="86">
        <f t="shared" si="97"/>
        <v>0</v>
      </c>
      <c r="J296" s="87">
        <f t="shared" si="98"/>
        <v>0</v>
      </c>
      <c r="K296" s="88">
        <f>SUM(K297)</f>
        <v>0</v>
      </c>
      <c r="L296" s="88">
        <f t="shared" si="99"/>
        <v>0</v>
      </c>
      <c r="M296" s="87">
        <f t="shared" si="100"/>
        <v>0</v>
      </c>
      <c r="N296" s="100"/>
    </row>
    <row r="297" s="3" customFormat="1" spans="1:14">
      <c r="A297" s="83" t="s">
        <v>155</v>
      </c>
      <c r="B297" s="84">
        <v>2080402</v>
      </c>
      <c r="C297" s="85" t="s">
        <v>377</v>
      </c>
      <c r="D297" s="86"/>
      <c r="E297" s="86"/>
      <c r="F297" s="86"/>
      <c r="G297" s="87">
        <f t="shared" si="96"/>
        <v>0</v>
      </c>
      <c r="H297" s="88"/>
      <c r="I297" s="86">
        <f t="shared" si="97"/>
        <v>0</v>
      </c>
      <c r="J297" s="87">
        <f t="shared" si="98"/>
        <v>0</v>
      </c>
      <c r="K297" s="88"/>
      <c r="L297" s="88">
        <f t="shared" si="99"/>
        <v>0</v>
      </c>
      <c r="M297" s="87">
        <f t="shared" si="100"/>
        <v>0</v>
      </c>
      <c r="N297" s="100"/>
    </row>
    <row r="298" s="3" customFormat="1" spans="1:14">
      <c r="A298" s="83" t="s">
        <v>153</v>
      </c>
      <c r="B298" s="84">
        <v>20805</v>
      </c>
      <c r="C298" s="85" t="s">
        <v>378</v>
      </c>
      <c r="D298" s="86">
        <f t="shared" ref="D298:F298" si="110">SUM(D299:D305)</f>
        <v>3241</v>
      </c>
      <c r="E298" s="86">
        <f t="shared" si="110"/>
        <v>3240</v>
      </c>
      <c r="F298" s="86">
        <f t="shared" si="110"/>
        <v>3147</v>
      </c>
      <c r="G298" s="87">
        <f t="shared" si="96"/>
        <v>97.1296296296296</v>
      </c>
      <c r="H298" s="88">
        <f>SUM(H299:H305)</f>
        <v>1699</v>
      </c>
      <c r="I298" s="86">
        <f t="shared" si="97"/>
        <v>1448</v>
      </c>
      <c r="J298" s="87">
        <f t="shared" si="98"/>
        <v>85.226603884638</v>
      </c>
      <c r="K298" s="88">
        <f>SUM(K299:K305)</f>
        <v>4412</v>
      </c>
      <c r="L298" s="88">
        <f t="shared" si="99"/>
        <v>1171</v>
      </c>
      <c r="M298" s="87">
        <f t="shared" si="100"/>
        <v>36.1308238198087</v>
      </c>
      <c r="N298" s="100"/>
    </row>
    <row r="299" s="3" customFormat="1" spans="1:14">
      <c r="A299" s="83" t="s">
        <v>155</v>
      </c>
      <c r="B299" s="84">
        <v>2080501</v>
      </c>
      <c r="C299" s="85" t="s">
        <v>379</v>
      </c>
      <c r="D299" s="86"/>
      <c r="E299" s="86">
        <v>56</v>
      </c>
      <c r="F299" s="114">
        <v>56</v>
      </c>
      <c r="G299" s="87">
        <f t="shared" si="96"/>
        <v>100</v>
      </c>
      <c r="H299" s="111">
        <v>2</v>
      </c>
      <c r="I299" s="86">
        <f t="shared" si="97"/>
        <v>54</v>
      </c>
      <c r="J299" s="87">
        <f t="shared" si="98"/>
        <v>2700</v>
      </c>
      <c r="K299" s="88">
        <v>50</v>
      </c>
      <c r="L299" s="88">
        <f t="shared" si="99"/>
        <v>50</v>
      </c>
      <c r="M299" s="87">
        <f t="shared" si="100"/>
        <v>0</v>
      </c>
      <c r="N299" s="100"/>
    </row>
    <row r="300" s="3" customFormat="1" spans="1:14">
      <c r="A300" s="83" t="s">
        <v>155</v>
      </c>
      <c r="B300" s="84">
        <v>2080502</v>
      </c>
      <c r="C300" s="85" t="s">
        <v>380</v>
      </c>
      <c r="D300" s="86">
        <v>2</v>
      </c>
      <c r="E300" s="86">
        <v>2</v>
      </c>
      <c r="F300" s="114">
        <v>3</v>
      </c>
      <c r="G300" s="87">
        <f t="shared" si="96"/>
        <v>150</v>
      </c>
      <c r="H300" s="111">
        <v>2</v>
      </c>
      <c r="I300" s="86">
        <f t="shared" si="97"/>
        <v>1</v>
      </c>
      <c r="J300" s="87">
        <f t="shared" si="98"/>
        <v>50</v>
      </c>
      <c r="K300" s="88">
        <v>2</v>
      </c>
      <c r="L300" s="88">
        <f t="shared" si="99"/>
        <v>0</v>
      </c>
      <c r="M300" s="87">
        <f t="shared" si="100"/>
        <v>0</v>
      </c>
      <c r="N300" s="100"/>
    </row>
    <row r="301" s="3" customFormat="1" spans="1:14">
      <c r="A301" s="83" t="s">
        <v>155</v>
      </c>
      <c r="B301" s="84">
        <v>2080505</v>
      </c>
      <c r="C301" s="85" t="s">
        <v>381</v>
      </c>
      <c r="D301" s="86">
        <f>228+2557</f>
        <v>2785</v>
      </c>
      <c r="E301" s="86">
        <v>2200</v>
      </c>
      <c r="F301" s="114">
        <v>2131</v>
      </c>
      <c r="G301" s="87">
        <f t="shared" si="96"/>
        <v>96.8636363636364</v>
      </c>
      <c r="H301" s="111">
        <v>1641</v>
      </c>
      <c r="I301" s="86">
        <f t="shared" si="97"/>
        <v>490</v>
      </c>
      <c r="J301" s="87">
        <f t="shared" si="98"/>
        <v>29.8598415600244</v>
      </c>
      <c r="K301" s="88">
        <v>2640</v>
      </c>
      <c r="L301" s="88">
        <f t="shared" si="99"/>
        <v>-145</v>
      </c>
      <c r="M301" s="87">
        <f t="shared" si="100"/>
        <v>-5.2064631956912</v>
      </c>
      <c r="N301" s="100"/>
    </row>
    <row r="302" s="3" customFormat="1" spans="1:14">
      <c r="A302" s="83" t="s">
        <v>155</v>
      </c>
      <c r="B302" s="84">
        <v>2080506</v>
      </c>
      <c r="C302" s="85" t="s">
        <v>382</v>
      </c>
      <c r="D302" s="86">
        <v>350</v>
      </c>
      <c r="E302" s="86">
        <v>250</v>
      </c>
      <c r="F302" s="114">
        <v>217</v>
      </c>
      <c r="G302" s="87">
        <f t="shared" si="96"/>
        <v>86.8</v>
      </c>
      <c r="H302" s="111">
        <v>7</v>
      </c>
      <c r="I302" s="86">
        <f t="shared" si="97"/>
        <v>210</v>
      </c>
      <c r="J302" s="87">
        <f t="shared" si="98"/>
        <v>3000</v>
      </c>
      <c r="K302" s="88"/>
      <c r="L302" s="88">
        <f t="shared" si="99"/>
        <v>-350</v>
      </c>
      <c r="M302" s="87">
        <f t="shared" si="100"/>
        <v>-100</v>
      </c>
      <c r="N302" s="100"/>
    </row>
    <row r="303" s="3" customFormat="1" spans="1:14">
      <c r="A303" s="83" t="s">
        <v>155</v>
      </c>
      <c r="B303" s="84">
        <v>2080507</v>
      </c>
      <c r="C303" s="85" t="s">
        <v>383</v>
      </c>
      <c r="D303" s="86"/>
      <c r="E303" s="86">
        <v>500</v>
      </c>
      <c r="F303" s="114">
        <v>508</v>
      </c>
      <c r="G303" s="87">
        <f t="shared" si="96"/>
        <v>101.6</v>
      </c>
      <c r="H303" s="111">
        <v>47</v>
      </c>
      <c r="I303" s="86">
        <f t="shared" si="97"/>
        <v>461</v>
      </c>
      <c r="J303" s="87">
        <f t="shared" si="98"/>
        <v>980.851063829787</v>
      </c>
      <c r="K303" s="88">
        <v>500</v>
      </c>
      <c r="L303" s="88">
        <f t="shared" si="99"/>
        <v>500</v>
      </c>
      <c r="M303" s="87">
        <f t="shared" si="100"/>
        <v>0</v>
      </c>
      <c r="N303" s="100"/>
    </row>
    <row r="304" s="3" customFormat="1" spans="1:14">
      <c r="A304" s="83" t="s">
        <v>155</v>
      </c>
      <c r="B304" s="84">
        <v>2080508</v>
      </c>
      <c r="C304" s="85" t="s">
        <v>384</v>
      </c>
      <c r="D304" s="86"/>
      <c r="E304" s="86">
        <v>90</v>
      </c>
      <c r="F304" s="114">
        <v>90</v>
      </c>
      <c r="G304" s="87">
        <f t="shared" si="96"/>
        <v>100</v>
      </c>
      <c r="H304" s="111"/>
      <c r="I304" s="86">
        <f t="shared" si="97"/>
        <v>90</v>
      </c>
      <c r="J304" s="87">
        <f t="shared" si="98"/>
        <v>0</v>
      </c>
      <c r="K304" s="88">
        <v>1220</v>
      </c>
      <c r="L304" s="88">
        <f t="shared" si="99"/>
        <v>1220</v>
      </c>
      <c r="M304" s="87">
        <f t="shared" si="100"/>
        <v>0</v>
      </c>
      <c r="N304" s="100"/>
    </row>
    <row r="305" s="3" customFormat="1" spans="1:14">
      <c r="A305" s="83" t="s">
        <v>155</v>
      </c>
      <c r="B305" s="84">
        <v>2080599</v>
      </c>
      <c r="C305" s="85" t="s">
        <v>385</v>
      </c>
      <c r="D305" s="86">
        <f>67+37</f>
        <v>104</v>
      </c>
      <c r="E305" s="86">
        <v>142</v>
      </c>
      <c r="F305" s="114">
        <v>142</v>
      </c>
      <c r="G305" s="87">
        <f t="shared" si="96"/>
        <v>100</v>
      </c>
      <c r="H305" s="111"/>
      <c r="I305" s="86">
        <f t="shared" si="97"/>
        <v>142</v>
      </c>
      <c r="J305" s="87">
        <f t="shared" si="98"/>
        <v>0</v>
      </c>
      <c r="K305" s="88"/>
      <c r="L305" s="88">
        <f t="shared" si="99"/>
        <v>-104</v>
      </c>
      <c r="M305" s="87">
        <f t="shared" si="100"/>
        <v>-100</v>
      </c>
      <c r="N305" s="100"/>
    </row>
    <row r="306" s="3" customFormat="1" spans="1:14">
      <c r="A306" s="83" t="s">
        <v>153</v>
      </c>
      <c r="B306" s="84">
        <v>20806</v>
      </c>
      <c r="C306" s="85" t="s">
        <v>386</v>
      </c>
      <c r="D306" s="86">
        <f t="shared" ref="D306:F306" si="111">SUM(D307:D307)</f>
        <v>0</v>
      </c>
      <c r="E306" s="86">
        <f t="shared" si="111"/>
        <v>0</v>
      </c>
      <c r="F306" s="86">
        <f t="shared" si="111"/>
        <v>0</v>
      </c>
      <c r="G306" s="87">
        <f t="shared" si="96"/>
        <v>0</v>
      </c>
      <c r="H306" s="88">
        <f>SUM(H307:H307)</f>
        <v>0</v>
      </c>
      <c r="I306" s="86">
        <f t="shared" si="97"/>
        <v>0</v>
      </c>
      <c r="J306" s="87">
        <f t="shared" si="98"/>
        <v>0</v>
      </c>
      <c r="K306" s="88">
        <f>SUM(K307:K307)</f>
        <v>0</v>
      </c>
      <c r="L306" s="88">
        <f t="shared" si="99"/>
        <v>0</v>
      </c>
      <c r="M306" s="87">
        <f t="shared" si="100"/>
        <v>0</v>
      </c>
      <c r="N306" s="100"/>
    </row>
    <row r="307" s="3" customFormat="1" spans="1:14">
      <c r="A307" s="83" t="s">
        <v>155</v>
      </c>
      <c r="B307" s="84">
        <v>2080699</v>
      </c>
      <c r="C307" s="85" t="s">
        <v>387</v>
      </c>
      <c r="D307" s="86"/>
      <c r="E307" s="86"/>
      <c r="F307" s="86"/>
      <c r="G307" s="87">
        <f t="shared" si="96"/>
        <v>0</v>
      </c>
      <c r="H307" s="88"/>
      <c r="I307" s="86">
        <f t="shared" si="97"/>
        <v>0</v>
      </c>
      <c r="J307" s="87">
        <f t="shared" si="98"/>
        <v>0</v>
      </c>
      <c r="K307" s="88"/>
      <c r="L307" s="88">
        <f t="shared" si="99"/>
        <v>0</v>
      </c>
      <c r="M307" s="87">
        <f t="shared" si="100"/>
        <v>0</v>
      </c>
      <c r="N307" s="100"/>
    </row>
    <row r="308" s="3" customFormat="1" spans="1:14">
      <c r="A308" s="83" t="s">
        <v>153</v>
      </c>
      <c r="B308" s="84">
        <v>20807</v>
      </c>
      <c r="C308" s="85" t="s">
        <v>388</v>
      </c>
      <c r="D308" s="86">
        <f t="shared" ref="D308:F308" si="112">SUM(D309:D310)</f>
        <v>340</v>
      </c>
      <c r="E308" s="86">
        <f t="shared" si="112"/>
        <v>330</v>
      </c>
      <c r="F308" s="86">
        <f t="shared" si="112"/>
        <v>326</v>
      </c>
      <c r="G308" s="87">
        <f t="shared" si="96"/>
        <v>98.7878787878788</v>
      </c>
      <c r="H308" s="86">
        <f>SUM(H309:H310)</f>
        <v>19</v>
      </c>
      <c r="I308" s="86">
        <f t="shared" si="97"/>
        <v>307</v>
      </c>
      <c r="J308" s="87">
        <f t="shared" si="98"/>
        <v>1615.78947368421</v>
      </c>
      <c r="K308" s="86">
        <f>SUM(K309:K310)</f>
        <v>492</v>
      </c>
      <c r="L308" s="88">
        <f t="shared" si="99"/>
        <v>152</v>
      </c>
      <c r="M308" s="87">
        <f t="shared" si="100"/>
        <v>44.7058823529412</v>
      </c>
      <c r="N308" s="100"/>
    </row>
    <row r="309" s="3" customFormat="1" spans="1:14">
      <c r="A309" s="83" t="s">
        <v>155</v>
      </c>
      <c r="B309" s="84">
        <v>2080705</v>
      </c>
      <c r="C309" s="85" t="s">
        <v>389</v>
      </c>
      <c r="D309" s="86"/>
      <c r="E309" s="86">
        <v>330</v>
      </c>
      <c r="F309" s="86">
        <v>326</v>
      </c>
      <c r="G309" s="87">
        <f t="shared" si="96"/>
        <v>98.7878787878788</v>
      </c>
      <c r="H309" s="88"/>
      <c r="I309" s="86">
        <f t="shared" si="97"/>
        <v>326</v>
      </c>
      <c r="J309" s="87">
        <f t="shared" si="98"/>
        <v>0</v>
      </c>
      <c r="K309" s="88"/>
      <c r="L309" s="88">
        <f t="shared" si="99"/>
        <v>0</v>
      </c>
      <c r="M309" s="87">
        <f t="shared" si="100"/>
        <v>0</v>
      </c>
      <c r="N309" s="100"/>
    </row>
    <row r="310" s="3" customFormat="1" spans="1:14">
      <c r="A310" s="83" t="s">
        <v>155</v>
      </c>
      <c r="B310" s="84">
        <v>2080799</v>
      </c>
      <c r="C310" s="85" t="s">
        <v>390</v>
      </c>
      <c r="D310" s="86">
        <v>340</v>
      </c>
      <c r="E310" s="86"/>
      <c r="F310" s="114"/>
      <c r="G310" s="87">
        <f t="shared" si="96"/>
        <v>0</v>
      </c>
      <c r="H310" s="111">
        <v>19</v>
      </c>
      <c r="I310" s="86">
        <f t="shared" si="97"/>
        <v>-19</v>
      </c>
      <c r="J310" s="87">
        <f t="shared" si="98"/>
        <v>-100</v>
      </c>
      <c r="K310" s="88">
        <v>492</v>
      </c>
      <c r="L310" s="88">
        <f t="shared" si="99"/>
        <v>152</v>
      </c>
      <c r="M310" s="87">
        <f t="shared" si="100"/>
        <v>44.7058823529412</v>
      </c>
      <c r="N310" s="100"/>
    </row>
    <row r="311" s="3" customFormat="1" spans="1:14">
      <c r="A311" s="83" t="s">
        <v>153</v>
      </c>
      <c r="B311" s="84">
        <v>20808</v>
      </c>
      <c r="C311" s="85" t="s">
        <v>391</v>
      </c>
      <c r="D311" s="86">
        <f t="shared" ref="D311:F311" si="113">SUM(D312:D316)</f>
        <v>305</v>
      </c>
      <c r="E311" s="86">
        <f t="shared" si="113"/>
        <v>436</v>
      </c>
      <c r="F311" s="86">
        <f t="shared" si="113"/>
        <v>452</v>
      </c>
      <c r="G311" s="87">
        <f t="shared" si="96"/>
        <v>103.669724770642</v>
      </c>
      <c r="H311" s="86">
        <f>SUM(H312:H316)</f>
        <v>392</v>
      </c>
      <c r="I311" s="86">
        <f t="shared" si="97"/>
        <v>60</v>
      </c>
      <c r="J311" s="87">
        <f t="shared" si="98"/>
        <v>15.3061224489796</v>
      </c>
      <c r="K311" s="86">
        <f>SUM(K312:K316)</f>
        <v>369</v>
      </c>
      <c r="L311" s="88">
        <f t="shared" si="99"/>
        <v>64</v>
      </c>
      <c r="M311" s="87">
        <f t="shared" si="100"/>
        <v>20.983606557377</v>
      </c>
      <c r="N311" s="100"/>
    </row>
    <row r="312" s="3" customFormat="1" spans="1:14">
      <c r="A312" s="83" t="s">
        <v>155</v>
      </c>
      <c r="B312" s="84">
        <v>2080801</v>
      </c>
      <c r="C312" s="85" t="s">
        <v>392</v>
      </c>
      <c r="D312" s="86"/>
      <c r="E312" s="86">
        <v>106</v>
      </c>
      <c r="F312" s="86">
        <v>106</v>
      </c>
      <c r="G312" s="87">
        <f t="shared" si="96"/>
        <v>100</v>
      </c>
      <c r="H312" s="88">
        <v>49</v>
      </c>
      <c r="I312" s="86">
        <f t="shared" si="97"/>
        <v>57</v>
      </c>
      <c r="J312" s="87">
        <f t="shared" si="98"/>
        <v>116.326530612245</v>
      </c>
      <c r="K312" s="88"/>
      <c r="L312" s="88">
        <f t="shared" si="99"/>
        <v>0</v>
      </c>
      <c r="M312" s="87">
        <f t="shared" si="100"/>
        <v>0</v>
      </c>
      <c r="N312" s="100"/>
    </row>
    <row r="313" s="3" customFormat="1" spans="1:14">
      <c r="A313" s="83" t="s">
        <v>155</v>
      </c>
      <c r="B313" s="84">
        <v>2080803</v>
      </c>
      <c r="C313" s="85" t="s">
        <v>393</v>
      </c>
      <c r="D313" s="86">
        <f>3+3</f>
        <v>6</v>
      </c>
      <c r="E313" s="86">
        <v>138</v>
      </c>
      <c r="F313" s="86">
        <v>138</v>
      </c>
      <c r="G313" s="87">
        <f t="shared" si="96"/>
        <v>100</v>
      </c>
      <c r="H313" s="88">
        <v>2</v>
      </c>
      <c r="I313" s="86">
        <f t="shared" si="97"/>
        <v>136</v>
      </c>
      <c r="J313" s="87">
        <f t="shared" si="98"/>
        <v>6800</v>
      </c>
      <c r="K313" s="88">
        <v>2</v>
      </c>
      <c r="L313" s="88">
        <f t="shared" si="99"/>
        <v>-4</v>
      </c>
      <c r="M313" s="87">
        <f t="shared" si="100"/>
        <v>-66.6666666666667</v>
      </c>
      <c r="N313" s="100"/>
    </row>
    <row r="314" s="3" customFormat="1" spans="1:14">
      <c r="A314" s="83" t="s">
        <v>155</v>
      </c>
      <c r="B314" s="84">
        <v>2080804</v>
      </c>
      <c r="C314" s="85" t="s">
        <v>394</v>
      </c>
      <c r="D314" s="86"/>
      <c r="E314" s="86">
        <v>3</v>
      </c>
      <c r="F314" s="86">
        <v>3</v>
      </c>
      <c r="G314" s="87">
        <f t="shared" si="96"/>
        <v>100</v>
      </c>
      <c r="H314" s="88"/>
      <c r="I314" s="86">
        <f t="shared" si="97"/>
        <v>3</v>
      </c>
      <c r="J314" s="87">
        <f t="shared" si="98"/>
        <v>0</v>
      </c>
      <c r="K314" s="88"/>
      <c r="L314" s="88">
        <f t="shared" si="99"/>
        <v>0</v>
      </c>
      <c r="M314" s="87">
        <f t="shared" si="100"/>
        <v>0</v>
      </c>
      <c r="N314" s="100"/>
    </row>
    <row r="315" s="3" customFormat="1" spans="1:14">
      <c r="A315" s="83" t="s">
        <v>155</v>
      </c>
      <c r="B315" s="84">
        <v>2080805</v>
      </c>
      <c r="C315" s="85" t="s">
        <v>395</v>
      </c>
      <c r="D315" s="86">
        <v>139</v>
      </c>
      <c r="E315" s="86">
        <v>139</v>
      </c>
      <c r="F315" s="114">
        <v>157</v>
      </c>
      <c r="G315" s="87">
        <f t="shared" si="96"/>
        <v>112.94964028777</v>
      </c>
      <c r="H315" s="111">
        <v>122</v>
      </c>
      <c r="I315" s="86">
        <f t="shared" si="97"/>
        <v>35</v>
      </c>
      <c r="J315" s="87">
        <f t="shared" si="98"/>
        <v>28.6885245901639</v>
      </c>
      <c r="K315" s="88">
        <v>187</v>
      </c>
      <c r="L315" s="88">
        <f t="shared" si="99"/>
        <v>48</v>
      </c>
      <c r="M315" s="87">
        <f t="shared" si="100"/>
        <v>34.5323741007194</v>
      </c>
      <c r="N315" s="100"/>
    </row>
    <row r="316" s="3" customFormat="1" spans="1:14">
      <c r="A316" s="83" t="s">
        <v>155</v>
      </c>
      <c r="B316" s="84">
        <v>2080899</v>
      </c>
      <c r="C316" s="85" t="s">
        <v>396</v>
      </c>
      <c r="D316" s="86">
        <f>6+11+143</f>
        <v>160</v>
      </c>
      <c r="E316" s="86">
        <v>50</v>
      </c>
      <c r="F316" s="114">
        <v>48</v>
      </c>
      <c r="G316" s="87">
        <f t="shared" si="96"/>
        <v>96</v>
      </c>
      <c r="H316" s="111">
        <v>219</v>
      </c>
      <c r="I316" s="86">
        <f t="shared" si="97"/>
        <v>-171</v>
      </c>
      <c r="J316" s="87">
        <f t="shared" si="98"/>
        <v>-78.0821917808219</v>
      </c>
      <c r="K316" s="88">
        <f>173+7</f>
        <v>180</v>
      </c>
      <c r="L316" s="88">
        <f t="shared" si="99"/>
        <v>20</v>
      </c>
      <c r="M316" s="87">
        <f t="shared" si="100"/>
        <v>12.5</v>
      </c>
      <c r="N316" s="100"/>
    </row>
    <row r="317" s="3" customFormat="1" spans="1:14">
      <c r="A317" s="83" t="s">
        <v>153</v>
      </c>
      <c r="B317" s="84">
        <v>20809</v>
      </c>
      <c r="C317" s="85" t="s">
        <v>397</v>
      </c>
      <c r="D317" s="86">
        <f t="shared" ref="D317:H317" si="114">SUM(D318:D320)</f>
        <v>86</v>
      </c>
      <c r="E317" s="86">
        <v>40</v>
      </c>
      <c r="F317" s="86">
        <f t="shared" si="114"/>
        <v>39</v>
      </c>
      <c r="G317" s="87">
        <f t="shared" si="96"/>
        <v>97.5</v>
      </c>
      <c r="H317" s="88">
        <f t="shared" si="114"/>
        <v>38</v>
      </c>
      <c r="I317" s="86">
        <f t="shared" si="97"/>
        <v>1</v>
      </c>
      <c r="J317" s="87">
        <f t="shared" si="98"/>
        <v>2.63157894736842</v>
      </c>
      <c r="K317" s="88">
        <f>SUM(K318:K320)</f>
        <v>10</v>
      </c>
      <c r="L317" s="88">
        <f t="shared" si="99"/>
        <v>-76</v>
      </c>
      <c r="M317" s="87">
        <f t="shared" si="100"/>
        <v>-88.3720930232558</v>
      </c>
      <c r="N317" s="100"/>
    </row>
    <row r="318" s="3" customFormat="1" spans="1:14">
      <c r="A318" s="83" t="s">
        <v>155</v>
      </c>
      <c r="B318" s="84">
        <v>2080901</v>
      </c>
      <c r="C318" s="85" t="s">
        <v>398</v>
      </c>
      <c r="D318" s="86">
        <v>18</v>
      </c>
      <c r="E318" s="86">
        <v>36</v>
      </c>
      <c r="F318" s="86">
        <v>36</v>
      </c>
      <c r="G318" s="87">
        <f t="shared" si="96"/>
        <v>100</v>
      </c>
      <c r="H318" s="88"/>
      <c r="I318" s="86">
        <f t="shared" si="97"/>
        <v>36</v>
      </c>
      <c r="J318" s="87">
        <f t="shared" si="98"/>
        <v>0</v>
      </c>
      <c r="K318" s="88">
        <v>7</v>
      </c>
      <c r="L318" s="88">
        <f t="shared" si="99"/>
        <v>-11</v>
      </c>
      <c r="M318" s="87">
        <f t="shared" si="100"/>
        <v>-61.1111111111111</v>
      </c>
      <c r="N318" s="100"/>
    </row>
    <row r="319" s="3" customFormat="1" spans="1:14">
      <c r="A319" s="83" t="s">
        <v>155</v>
      </c>
      <c r="B319" s="84">
        <v>2080905</v>
      </c>
      <c r="C319" s="85" t="s">
        <v>399</v>
      </c>
      <c r="D319" s="86"/>
      <c r="E319" s="86">
        <v>2</v>
      </c>
      <c r="F319" s="86">
        <v>2</v>
      </c>
      <c r="G319" s="87">
        <f t="shared" si="96"/>
        <v>100</v>
      </c>
      <c r="H319" s="88"/>
      <c r="I319" s="86">
        <f t="shared" si="97"/>
        <v>2</v>
      </c>
      <c r="J319" s="87">
        <f t="shared" si="98"/>
        <v>0</v>
      </c>
      <c r="K319" s="88"/>
      <c r="L319" s="88">
        <f t="shared" si="99"/>
        <v>0</v>
      </c>
      <c r="M319" s="87">
        <f t="shared" si="100"/>
        <v>0</v>
      </c>
      <c r="N319" s="100"/>
    </row>
    <row r="320" s="3" customFormat="1" spans="1:14">
      <c r="A320" s="83" t="s">
        <v>155</v>
      </c>
      <c r="B320" s="84">
        <v>2080999</v>
      </c>
      <c r="C320" s="85" t="s">
        <v>400</v>
      </c>
      <c r="D320" s="86">
        <f>1+1+1+65</f>
        <v>68</v>
      </c>
      <c r="E320" s="86">
        <v>2</v>
      </c>
      <c r="F320" s="114">
        <v>1</v>
      </c>
      <c r="G320" s="87">
        <f t="shared" si="96"/>
        <v>50</v>
      </c>
      <c r="H320" s="111">
        <v>38</v>
      </c>
      <c r="I320" s="86">
        <f t="shared" si="97"/>
        <v>-37</v>
      </c>
      <c r="J320" s="87">
        <f t="shared" si="98"/>
        <v>-97.3684210526316</v>
      </c>
      <c r="K320" s="88">
        <v>3</v>
      </c>
      <c r="L320" s="88">
        <f t="shared" si="99"/>
        <v>-65</v>
      </c>
      <c r="M320" s="87">
        <f t="shared" si="100"/>
        <v>-95.5882352941177</v>
      </c>
      <c r="N320" s="100"/>
    </row>
    <row r="321" s="3" customFormat="1" spans="1:14">
      <c r="A321" s="83" t="s">
        <v>153</v>
      </c>
      <c r="B321" s="84">
        <v>20810</v>
      </c>
      <c r="C321" s="85" t="s">
        <v>401</v>
      </c>
      <c r="D321" s="86">
        <f t="shared" ref="D321:F321" si="115">SUM(D322:D324)</f>
        <v>3</v>
      </c>
      <c r="E321" s="86">
        <f t="shared" si="115"/>
        <v>3</v>
      </c>
      <c r="F321" s="86">
        <f t="shared" si="115"/>
        <v>100</v>
      </c>
      <c r="G321" s="87">
        <f t="shared" si="96"/>
        <v>3333.33333333333</v>
      </c>
      <c r="H321" s="88">
        <f>SUM(H322:H324)</f>
        <v>94</v>
      </c>
      <c r="I321" s="86">
        <f t="shared" si="97"/>
        <v>6</v>
      </c>
      <c r="J321" s="87">
        <f t="shared" si="98"/>
        <v>6.38297872340426</v>
      </c>
      <c r="K321" s="88">
        <f>SUM(K322:K324)</f>
        <v>58</v>
      </c>
      <c r="L321" s="88">
        <f t="shared" si="99"/>
        <v>55</v>
      </c>
      <c r="M321" s="87">
        <f t="shared" si="100"/>
        <v>1833.33333333333</v>
      </c>
      <c r="N321" s="100"/>
    </row>
    <row r="322" s="3" customFormat="1" spans="1:14">
      <c r="A322" s="83" t="s">
        <v>155</v>
      </c>
      <c r="B322" s="84">
        <v>2081001</v>
      </c>
      <c r="C322" s="85" t="s">
        <v>402</v>
      </c>
      <c r="D322" s="86"/>
      <c r="E322" s="86"/>
      <c r="F322" s="86">
        <v>1</v>
      </c>
      <c r="G322" s="87">
        <f t="shared" si="96"/>
        <v>0</v>
      </c>
      <c r="H322" s="88"/>
      <c r="I322" s="86">
        <f t="shared" si="97"/>
        <v>1</v>
      </c>
      <c r="J322" s="87">
        <f t="shared" si="98"/>
        <v>0</v>
      </c>
      <c r="K322" s="88"/>
      <c r="L322" s="88">
        <f t="shared" si="99"/>
        <v>0</v>
      </c>
      <c r="M322" s="87">
        <f t="shared" si="100"/>
        <v>0</v>
      </c>
      <c r="N322" s="100"/>
    </row>
    <row r="323" s="3" customFormat="1" spans="1:14">
      <c r="A323" s="83" t="s">
        <v>155</v>
      </c>
      <c r="B323" s="84">
        <v>2081002</v>
      </c>
      <c r="C323" s="85" t="s">
        <v>403</v>
      </c>
      <c r="D323" s="86">
        <v>3</v>
      </c>
      <c r="E323" s="86">
        <v>3</v>
      </c>
      <c r="F323" s="114">
        <v>99</v>
      </c>
      <c r="G323" s="87">
        <f t="shared" si="96"/>
        <v>3300</v>
      </c>
      <c r="H323" s="111">
        <v>94</v>
      </c>
      <c r="I323" s="86">
        <f t="shared" si="97"/>
        <v>5</v>
      </c>
      <c r="J323" s="87">
        <f t="shared" si="98"/>
        <v>5.31914893617021</v>
      </c>
      <c r="K323" s="88">
        <v>58</v>
      </c>
      <c r="L323" s="88">
        <f t="shared" si="99"/>
        <v>55</v>
      </c>
      <c r="M323" s="87">
        <f t="shared" si="100"/>
        <v>1833.33333333333</v>
      </c>
      <c r="N323" s="100"/>
    </row>
    <row r="324" s="3" customFormat="1" spans="1:14">
      <c r="A324" s="83" t="s">
        <v>155</v>
      </c>
      <c r="B324" s="84">
        <v>2081099</v>
      </c>
      <c r="C324" s="85" t="s">
        <v>404</v>
      </c>
      <c r="D324" s="86"/>
      <c r="E324" s="86"/>
      <c r="F324" s="86"/>
      <c r="G324" s="87">
        <f t="shared" si="96"/>
        <v>0</v>
      </c>
      <c r="H324" s="88"/>
      <c r="I324" s="86">
        <f t="shared" si="97"/>
        <v>0</v>
      </c>
      <c r="J324" s="87">
        <f t="shared" si="98"/>
        <v>0</v>
      </c>
      <c r="K324" s="88"/>
      <c r="L324" s="88">
        <f t="shared" si="99"/>
        <v>0</v>
      </c>
      <c r="M324" s="87">
        <f t="shared" si="100"/>
        <v>0</v>
      </c>
      <c r="N324" s="100"/>
    </row>
    <row r="325" s="3" customFormat="1" spans="1:14">
      <c r="A325" s="83" t="s">
        <v>153</v>
      </c>
      <c r="B325" s="84">
        <v>20811</v>
      </c>
      <c r="C325" s="85" t="s">
        <v>405</v>
      </c>
      <c r="D325" s="86">
        <f t="shared" ref="D325:F325" si="116">SUM(D326:D331)</f>
        <v>69</v>
      </c>
      <c r="E325" s="86">
        <f t="shared" si="116"/>
        <v>69</v>
      </c>
      <c r="F325" s="86">
        <f t="shared" si="116"/>
        <v>185</v>
      </c>
      <c r="G325" s="87">
        <f t="shared" si="96"/>
        <v>268.115942028986</v>
      </c>
      <c r="H325" s="88">
        <f>SUM(H326:H331)</f>
        <v>270</v>
      </c>
      <c r="I325" s="86">
        <f t="shared" si="97"/>
        <v>-85</v>
      </c>
      <c r="J325" s="87">
        <f t="shared" si="98"/>
        <v>-31.4814814814815</v>
      </c>
      <c r="K325" s="88">
        <f>SUM(K326:K331)</f>
        <v>130</v>
      </c>
      <c r="L325" s="88">
        <f t="shared" si="99"/>
        <v>61</v>
      </c>
      <c r="M325" s="87">
        <f t="shared" si="100"/>
        <v>88.4057971014493</v>
      </c>
      <c r="N325" s="100"/>
    </row>
    <row r="326" s="3" customFormat="1" spans="1:14">
      <c r="A326" s="83" t="s">
        <v>155</v>
      </c>
      <c r="B326" s="84">
        <v>2081101</v>
      </c>
      <c r="C326" s="85" t="s">
        <v>156</v>
      </c>
      <c r="D326" s="86">
        <v>12</v>
      </c>
      <c r="E326" s="86">
        <v>12</v>
      </c>
      <c r="F326" s="114">
        <v>21</v>
      </c>
      <c r="G326" s="87">
        <f t="shared" si="96"/>
        <v>175</v>
      </c>
      <c r="H326" s="111">
        <v>14</v>
      </c>
      <c r="I326" s="86">
        <f t="shared" si="97"/>
        <v>7</v>
      </c>
      <c r="J326" s="87">
        <f t="shared" si="98"/>
        <v>50</v>
      </c>
      <c r="K326" s="88">
        <v>10</v>
      </c>
      <c r="L326" s="88">
        <f t="shared" si="99"/>
        <v>-2</v>
      </c>
      <c r="M326" s="87">
        <f t="shared" si="100"/>
        <v>-16.6666666666667</v>
      </c>
      <c r="N326" s="100"/>
    </row>
    <row r="327" s="3" customFormat="1" spans="1:14">
      <c r="A327" s="83" t="s">
        <v>155</v>
      </c>
      <c r="B327" s="84">
        <v>2081104</v>
      </c>
      <c r="C327" s="85" t="s">
        <v>406</v>
      </c>
      <c r="D327" s="86">
        <v>5</v>
      </c>
      <c r="E327" s="86">
        <v>5</v>
      </c>
      <c r="F327" s="114">
        <v>7</v>
      </c>
      <c r="G327" s="87">
        <f t="shared" ref="G327:G390" si="117">IF(E327=0,,F327/E327*100)</f>
        <v>140</v>
      </c>
      <c r="H327" s="111">
        <v>14</v>
      </c>
      <c r="I327" s="86">
        <f t="shared" ref="I327:I390" si="118">F327-H327</f>
        <v>-7</v>
      </c>
      <c r="J327" s="87">
        <f t="shared" ref="J327:J390" si="119">IF(H327=0,,I327/H327*100)</f>
        <v>-50</v>
      </c>
      <c r="K327" s="88">
        <v>22</v>
      </c>
      <c r="L327" s="88">
        <f t="shared" ref="L327:L390" si="120">K327-D327</f>
        <v>17</v>
      </c>
      <c r="M327" s="87">
        <f t="shared" ref="M327:M390" si="121">IF(D327=0,,L327/D327*100)</f>
        <v>340</v>
      </c>
      <c r="N327" s="100"/>
    </row>
    <row r="328" s="3" customFormat="1" spans="1:14">
      <c r="A328" s="83" t="s">
        <v>155</v>
      </c>
      <c r="B328" s="84">
        <v>2081105</v>
      </c>
      <c r="C328" s="85" t="s">
        <v>407</v>
      </c>
      <c r="D328" s="86">
        <v>5</v>
      </c>
      <c r="E328" s="86">
        <v>5</v>
      </c>
      <c r="F328" s="114">
        <v>67</v>
      </c>
      <c r="G328" s="87">
        <f t="shared" si="117"/>
        <v>1340</v>
      </c>
      <c r="H328" s="111">
        <v>131</v>
      </c>
      <c r="I328" s="86">
        <f t="shared" si="118"/>
        <v>-64</v>
      </c>
      <c r="J328" s="87">
        <f t="shared" si="119"/>
        <v>-48.8549618320611</v>
      </c>
      <c r="K328" s="88">
        <f>20+35</f>
        <v>55</v>
      </c>
      <c r="L328" s="88">
        <f t="shared" si="120"/>
        <v>50</v>
      </c>
      <c r="M328" s="87">
        <f t="shared" si="121"/>
        <v>1000</v>
      </c>
      <c r="N328" s="100"/>
    </row>
    <row r="329" s="3" customFormat="1" spans="1:14">
      <c r="A329" s="83" t="s">
        <v>155</v>
      </c>
      <c r="B329" s="84">
        <v>2081106</v>
      </c>
      <c r="C329" s="85" t="s">
        <v>408</v>
      </c>
      <c r="D329" s="86"/>
      <c r="E329" s="86"/>
      <c r="F329" s="114">
        <v>1</v>
      </c>
      <c r="G329" s="87">
        <f t="shared" si="117"/>
        <v>0</v>
      </c>
      <c r="H329" s="111"/>
      <c r="I329" s="86">
        <f t="shared" si="118"/>
        <v>1</v>
      </c>
      <c r="J329" s="87">
        <f t="shared" si="119"/>
        <v>0</v>
      </c>
      <c r="K329" s="88"/>
      <c r="L329" s="88">
        <f t="shared" si="120"/>
        <v>0</v>
      </c>
      <c r="M329" s="87">
        <f t="shared" si="121"/>
        <v>0</v>
      </c>
      <c r="N329" s="100"/>
    </row>
    <row r="330" s="3" customFormat="1" spans="1:14">
      <c r="A330" s="83" t="s">
        <v>155</v>
      </c>
      <c r="B330" s="84">
        <v>2081107</v>
      </c>
      <c r="C330" s="85" t="s">
        <v>409</v>
      </c>
      <c r="D330" s="86">
        <v>39</v>
      </c>
      <c r="E330" s="86">
        <v>39</v>
      </c>
      <c r="F330" s="114">
        <v>58</v>
      </c>
      <c r="G330" s="87">
        <f t="shared" si="117"/>
        <v>148.717948717949</v>
      </c>
      <c r="H330" s="111">
        <v>64</v>
      </c>
      <c r="I330" s="86">
        <f t="shared" si="118"/>
        <v>-6</v>
      </c>
      <c r="J330" s="87">
        <f t="shared" si="119"/>
        <v>-9.375</v>
      </c>
      <c r="K330" s="88">
        <v>38</v>
      </c>
      <c r="L330" s="88">
        <f t="shared" si="120"/>
        <v>-1</v>
      </c>
      <c r="M330" s="87">
        <f t="shared" si="121"/>
        <v>-2.56410256410256</v>
      </c>
      <c r="N330" s="100"/>
    </row>
    <row r="331" s="3" customFormat="1" spans="1:14">
      <c r="A331" s="83" t="s">
        <v>155</v>
      </c>
      <c r="B331" s="84">
        <v>2081199</v>
      </c>
      <c r="C331" s="85" t="s">
        <v>410</v>
      </c>
      <c r="D331" s="86">
        <f>5+3</f>
        <v>8</v>
      </c>
      <c r="E331" s="86">
        <f>5+3</f>
        <v>8</v>
      </c>
      <c r="F331" s="114">
        <v>31</v>
      </c>
      <c r="G331" s="87">
        <f t="shared" si="117"/>
        <v>387.5</v>
      </c>
      <c r="H331" s="111">
        <v>47</v>
      </c>
      <c r="I331" s="86">
        <f t="shared" si="118"/>
        <v>-16</v>
      </c>
      <c r="J331" s="87">
        <f t="shared" si="119"/>
        <v>-34.0425531914894</v>
      </c>
      <c r="K331" s="88">
        <v>5</v>
      </c>
      <c r="L331" s="88">
        <f t="shared" si="120"/>
        <v>-3</v>
      </c>
      <c r="M331" s="87">
        <f t="shared" si="121"/>
        <v>-37.5</v>
      </c>
      <c r="N331" s="100"/>
    </row>
    <row r="332" s="3" customFormat="1" spans="1:14">
      <c r="A332" s="83" t="s">
        <v>153</v>
      </c>
      <c r="B332" s="84">
        <v>20816</v>
      </c>
      <c r="C332" s="85" t="s">
        <v>411</v>
      </c>
      <c r="D332" s="86">
        <f t="shared" ref="D332:F332" si="122">SUM(D333:D333)</f>
        <v>0</v>
      </c>
      <c r="E332" s="86">
        <f t="shared" si="122"/>
        <v>0</v>
      </c>
      <c r="F332" s="86">
        <f t="shared" si="122"/>
        <v>0</v>
      </c>
      <c r="G332" s="87">
        <f t="shared" si="117"/>
        <v>0</v>
      </c>
      <c r="H332" s="88">
        <f>SUM(H333:H333)</f>
        <v>0</v>
      </c>
      <c r="I332" s="86">
        <f t="shared" si="118"/>
        <v>0</v>
      </c>
      <c r="J332" s="87">
        <f t="shared" si="119"/>
        <v>0</v>
      </c>
      <c r="K332" s="88">
        <f>SUM(K333:K333)</f>
        <v>0</v>
      </c>
      <c r="L332" s="88">
        <f t="shared" si="120"/>
        <v>0</v>
      </c>
      <c r="M332" s="87">
        <f t="shared" si="121"/>
        <v>0</v>
      </c>
      <c r="N332" s="100"/>
    </row>
    <row r="333" s="3" customFormat="1" spans="1:14">
      <c r="A333" s="83" t="s">
        <v>155</v>
      </c>
      <c r="B333" s="84">
        <v>2081699</v>
      </c>
      <c r="C333" s="85" t="s">
        <v>412</v>
      </c>
      <c r="D333" s="86"/>
      <c r="E333" s="86"/>
      <c r="F333" s="86"/>
      <c r="G333" s="87">
        <f t="shared" si="117"/>
        <v>0</v>
      </c>
      <c r="H333" s="88"/>
      <c r="I333" s="86">
        <f t="shared" si="118"/>
        <v>0</v>
      </c>
      <c r="J333" s="87">
        <f t="shared" si="119"/>
        <v>0</v>
      </c>
      <c r="K333" s="88"/>
      <c r="L333" s="88">
        <f t="shared" si="120"/>
        <v>0</v>
      </c>
      <c r="M333" s="87">
        <f t="shared" si="121"/>
        <v>0</v>
      </c>
      <c r="N333" s="100"/>
    </row>
    <row r="334" s="3" customFormat="1" spans="1:14">
      <c r="A334" s="83" t="s">
        <v>153</v>
      </c>
      <c r="B334" s="84">
        <v>20819</v>
      </c>
      <c r="C334" s="85" t="s">
        <v>413</v>
      </c>
      <c r="D334" s="86">
        <f t="shared" ref="D334:F334" si="123">SUM(D335:D335)</f>
        <v>137</v>
      </c>
      <c r="E334" s="86">
        <f t="shared" si="123"/>
        <v>137</v>
      </c>
      <c r="F334" s="86">
        <f t="shared" si="123"/>
        <v>667</v>
      </c>
      <c r="G334" s="87">
        <f t="shared" si="117"/>
        <v>486.861313868613</v>
      </c>
      <c r="H334" s="88">
        <f>SUM(H335:H335)</f>
        <v>1101</v>
      </c>
      <c r="I334" s="86">
        <f t="shared" si="118"/>
        <v>-434</v>
      </c>
      <c r="J334" s="87">
        <f t="shared" si="119"/>
        <v>-39.4187102633969</v>
      </c>
      <c r="K334" s="88">
        <f>SUM(K335:K335)</f>
        <v>993</v>
      </c>
      <c r="L334" s="88">
        <f t="shared" si="120"/>
        <v>856</v>
      </c>
      <c r="M334" s="87">
        <f t="shared" si="121"/>
        <v>624.817518248175</v>
      </c>
      <c r="N334" s="100"/>
    </row>
    <row r="335" s="3" customFormat="1" spans="1:14">
      <c r="A335" s="83" t="s">
        <v>155</v>
      </c>
      <c r="B335" s="84">
        <v>2081901</v>
      </c>
      <c r="C335" s="85" t="s">
        <v>414</v>
      </c>
      <c r="D335" s="86">
        <v>137</v>
      </c>
      <c r="E335" s="86">
        <v>137</v>
      </c>
      <c r="F335" s="114">
        <v>667</v>
      </c>
      <c r="G335" s="87">
        <f t="shared" si="117"/>
        <v>486.861313868613</v>
      </c>
      <c r="H335" s="111">
        <v>1101</v>
      </c>
      <c r="I335" s="86">
        <f t="shared" si="118"/>
        <v>-434</v>
      </c>
      <c r="J335" s="87">
        <f t="shared" si="119"/>
        <v>-39.4187102633969</v>
      </c>
      <c r="K335" s="88">
        <f>885+108</f>
        <v>993</v>
      </c>
      <c r="L335" s="88">
        <f t="shared" si="120"/>
        <v>856</v>
      </c>
      <c r="M335" s="87">
        <f t="shared" si="121"/>
        <v>624.817518248175</v>
      </c>
      <c r="N335" s="100"/>
    </row>
    <row r="336" s="3" customFormat="1" spans="1:14">
      <c r="A336" s="83" t="s">
        <v>153</v>
      </c>
      <c r="B336" s="84">
        <v>20820</v>
      </c>
      <c r="C336" s="85" t="s">
        <v>415</v>
      </c>
      <c r="D336" s="86">
        <f t="shared" ref="D336:F336" si="124">SUM(D337:D338)</f>
        <v>0</v>
      </c>
      <c r="E336" s="86">
        <f t="shared" si="124"/>
        <v>0</v>
      </c>
      <c r="F336" s="86">
        <f t="shared" si="124"/>
        <v>0</v>
      </c>
      <c r="G336" s="87">
        <f t="shared" si="117"/>
        <v>0</v>
      </c>
      <c r="H336" s="88">
        <f>SUM(H337:H338)</f>
        <v>57</v>
      </c>
      <c r="I336" s="86">
        <f t="shared" si="118"/>
        <v>-57</v>
      </c>
      <c r="J336" s="87">
        <f t="shared" si="119"/>
        <v>-100</v>
      </c>
      <c r="K336" s="88">
        <f>SUM(K337:K338)</f>
        <v>0</v>
      </c>
      <c r="L336" s="88">
        <f t="shared" si="120"/>
        <v>0</v>
      </c>
      <c r="M336" s="87">
        <f t="shared" si="121"/>
        <v>0</v>
      </c>
      <c r="N336" s="100"/>
    </row>
    <row r="337" s="3" customFormat="1" spans="1:14">
      <c r="A337" s="83" t="s">
        <v>155</v>
      </c>
      <c r="B337" s="84">
        <v>2082001</v>
      </c>
      <c r="C337" s="85" t="s">
        <v>416</v>
      </c>
      <c r="D337" s="86"/>
      <c r="E337" s="86"/>
      <c r="F337" s="114"/>
      <c r="G337" s="87">
        <f t="shared" si="117"/>
        <v>0</v>
      </c>
      <c r="H337" s="111">
        <v>57</v>
      </c>
      <c r="I337" s="86">
        <f t="shared" si="118"/>
        <v>-57</v>
      </c>
      <c r="J337" s="87">
        <f t="shared" si="119"/>
        <v>-100</v>
      </c>
      <c r="K337" s="88"/>
      <c r="L337" s="88">
        <f t="shared" si="120"/>
        <v>0</v>
      </c>
      <c r="M337" s="87">
        <f t="shared" si="121"/>
        <v>0</v>
      </c>
      <c r="N337" s="100"/>
    </row>
    <row r="338" s="3" customFormat="1" spans="1:14">
      <c r="A338" s="83" t="s">
        <v>155</v>
      </c>
      <c r="B338" s="84">
        <v>2082002</v>
      </c>
      <c r="C338" s="85" t="s">
        <v>417</v>
      </c>
      <c r="D338" s="86"/>
      <c r="E338" s="86"/>
      <c r="F338" s="114"/>
      <c r="G338" s="87">
        <f t="shared" si="117"/>
        <v>0</v>
      </c>
      <c r="H338" s="111"/>
      <c r="I338" s="86">
        <f t="shared" si="118"/>
        <v>0</v>
      </c>
      <c r="J338" s="87">
        <f t="shared" si="119"/>
        <v>0</v>
      </c>
      <c r="K338" s="88"/>
      <c r="L338" s="88">
        <f t="shared" si="120"/>
        <v>0</v>
      </c>
      <c r="M338" s="87">
        <f t="shared" si="121"/>
        <v>0</v>
      </c>
      <c r="N338" s="100"/>
    </row>
    <row r="339" s="3" customFormat="1" spans="1:14">
      <c r="A339" s="83" t="s">
        <v>153</v>
      </c>
      <c r="B339" s="84">
        <v>20821</v>
      </c>
      <c r="C339" s="85" t="s">
        <v>418</v>
      </c>
      <c r="D339" s="86">
        <f t="shared" ref="D339:F339" si="125">SUM(D340:D341)</f>
        <v>740</v>
      </c>
      <c r="E339" s="86">
        <f t="shared" si="125"/>
        <v>740</v>
      </c>
      <c r="F339" s="86">
        <f t="shared" si="125"/>
        <v>751</v>
      </c>
      <c r="G339" s="87">
        <f t="shared" si="117"/>
        <v>101.486486486486</v>
      </c>
      <c r="H339" s="88">
        <f>SUM(H340:H341)</f>
        <v>361</v>
      </c>
      <c r="I339" s="86">
        <f t="shared" si="118"/>
        <v>390</v>
      </c>
      <c r="J339" s="87">
        <f t="shared" si="119"/>
        <v>108.03324099723</v>
      </c>
      <c r="K339" s="88">
        <f>SUM(K340:K341)</f>
        <v>188</v>
      </c>
      <c r="L339" s="88">
        <f t="shared" si="120"/>
        <v>-552</v>
      </c>
      <c r="M339" s="87">
        <f t="shared" si="121"/>
        <v>-74.5945945945946</v>
      </c>
      <c r="N339" s="100"/>
    </row>
    <row r="340" s="3" customFormat="1" spans="1:14">
      <c r="A340" s="83" t="s">
        <v>155</v>
      </c>
      <c r="B340" s="84">
        <v>2082101</v>
      </c>
      <c r="C340" s="85" t="s">
        <v>419</v>
      </c>
      <c r="D340" s="86"/>
      <c r="E340" s="86"/>
      <c r="F340" s="86"/>
      <c r="G340" s="87">
        <f t="shared" si="117"/>
        <v>0</v>
      </c>
      <c r="H340" s="88"/>
      <c r="I340" s="86">
        <f t="shared" si="118"/>
        <v>0</v>
      </c>
      <c r="J340" s="87">
        <f t="shared" si="119"/>
        <v>0</v>
      </c>
      <c r="K340" s="88"/>
      <c r="L340" s="88">
        <f t="shared" si="120"/>
        <v>0</v>
      </c>
      <c r="M340" s="87">
        <f t="shared" si="121"/>
        <v>0</v>
      </c>
      <c r="N340" s="100"/>
    </row>
    <row r="341" s="3" customFormat="1" spans="1:14">
      <c r="A341" s="83" t="s">
        <v>155</v>
      </c>
      <c r="B341" s="84">
        <v>2082102</v>
      </c>
      <c r="C341" s="85" t="s">
        <v>420</v>
      </c>
      <c r="D341" s="86">
        <f>551+189</f>
        <v>740</v>
      </c>
      <c r="E341" s="86">
        <f>551+189</f>
        <v>740</v>
      </c>
      <c r="F341" s="114">
        <v>751</v>
      </c>
      <c r="G341" s="87">
        <f t="shared" si="117"/>
        <v>101.486486486486</v>
      </c>
      <c r="H341" s="111">
        <v>361</v>
      </c>
      <c r="I341" s="86">
        <f t="shared" si="118"/>
        <v>390</v>
      </c>
      <c r="J341" s="87">
        <f t="shared" si="119"/>
        <v>108.03324099723</v>
      </c>
      <c r="K341" s="88">
        <v>188</v>
      </c>
      <c r="L341" s="88">
        <f t="shared" si="120"/>
        <v>-552</v>
      </c>
      <c r="M341" s="87">
        <f t="shared" si="121"/>
        <v>-74.5945945945946</v>
      </c>
      <c r="N341" s="100"/>
    </row>
    <row r="342" s="3" customFormat="1" spans="1:14">
      <c r="A342" s="83" t="s">
        <v>153</v>
      </c>
      <c r="B342" s="84">
        <v>20824</v>
      </c>
      <c r="C342" s="85" t="s">
        <v>421</v>
      </c>
      <c r="D342" s="86">
        <f t="shared" ref="D342:F342" si="126">SUM(D343:D344)</f>
        <v>0</v>
      </c>
      <c r="E342" s="86">
        <f t="shared" si="126"/>
        <v>0</v>
      </c>
      <c r="F342" s="86">
        <f t="shared" si="126"/>
        <v>0</v>
      </c>
      <c r="G342" s="87">
        <f t="shared" si="117"/>
        <v>0</v>
      </c>
      <c r="H342" s="88">
        <f>SUM(H343:H344)</f>
        <v>0</v>
      </c>
      <c r="I342" s="86">
        <f t="shared" si="118"/>
        <v>0</v>
      </c>
      <c r="J342" s="87">
        <f t="shared" si="119"/>
        <v>0</v>
      </c>
      <c r="K342" s="88">
        <f>SUM(K343:K344)</f>
        <v>0</v>
      </c>
      <c r="L342" s="88">
        <f t="shared" si="120"/>
        <v>0</v>
      </c>
      <c r="M342" s="87">
        <f t="shared" si="121"/>
        <v>0</v>
      </c>
      <c r="N342" s="100"/>
    </row>
    <row r="343" s="3" customFormat="1" hidden="1" spans="1:14">
      <c r="A343" s="83" t="s">
        <v>155</v>
      </c>
      <c r="B343" s="84">
        <v>2082401</v>
      </c>
      <c r="C343" s="85" t="s">
        <v>422</v>
      </c>
      <c r="D343" s="86"/>
      <c r="E343" s="86"/>
      <c r="F343" s="86"/>
      <c r="G343" s="87">
        <f t="shared" si="117"/>
        <v>0</v>
      </c>
      <c r="H343" s="88"/>
      <c r="I343" s="86">
        <f t="shared" si="118"/>
        <v>0</v>
      </c>
      <c r="J343" s="87">
        <f t="shared" si="119"/>
        <v>0</v>
      </c>
      <c r="K343" s="88"/>
      <c r="L343" s="88">
        <f t="shared" si="120"/>
        <v>0</v>
      </c>
      <c r="M343" s="87">
        <f t="shared" si="121"/>
        <v>0</v>
      </c>
      <c r="N343" s="100"/>
    </row>
    <row r="344" s="3" customFormat="1" hidden="1" spans="1:14">
      <c r="A344" s="83" t="s">
        <v>155</v>
      </c>
      <c r="B344" s="84">
        <v>2082402</v>
      </c>
      <c r="C344" s="85" t="s">
        <v>423</v>
      </c>
      <c r="D344" s="86"/>
      <c r="E344" s="86"/>
      <c r="F344" s="86"/>
      <c r="G344" s="87">
        <f t="shared" si="117"/>
        <v>0</v>
      </c>
      <c r="H344" s="88"/>
      <c r="I344" s="86">
        <f t="shared" si="118"/>
        <v>0</v>
      </c>
      <c r="J344" s="87">
        <f t="shared" si="119"/>
        <v>0</v>
      </c>
      <c r="K344" s="88"/>
      <c r="L344" s="88">
        <f t="shared" si="120"/>
        <v>0</v>
      </c>
      <c r="M344" s="87">
        <f t="shared" si="121"/>
        <v>0</v>
      </c>
      <c r="N344" s="100"/>
    </row>
    <row r="345" s="3" customFormat="1" spans="1:14">
      <c r="A345" s="83" t="s">
        <v>153</v>
      </c>
      <c r="B345" s="84">
        <v>20825</v>
      </c>
      <c r="C345" s="85" t="s">
        <v>424</v>
      </c>
      <c r="D345" s="86">
        <f t="shared" ref="D345:F345" si="127">SUM(D346:D347)</f>
        <v>0</v>
      </c>
      <c r="E345" s="86">
        <f t="shared" si="127"/>
        <v>0</v>
      </c>
      <c r="F345" s="86">
        <f t="shared" si="127"/>
        <v>0</v>
      </c>
      <c r="G345" s="87">
        <f t="shared" si="117"/>
        <v>0</v>
      </c>
      <c r="H345" s="88">
        <f>SUM(H346:H347)</f>
        <v>0</v>
      </c>
      <c r="I345" s="86">
        <f t="shared" si="118"/>
        <v>0</v>
      </c>
      <c r="J345" s="87">
        <f t="shared" si="119"/>
        <v>0</v>
      </c>
      <c r="K345" s="88">
        <f>SUM(K346:K347)</f>
        <v>0</v>
      </c>
      <c r="L345" s="88">
        <f t="shared" si="120"/>
        <v>0</v>
      </c>
      <c r="M345" s="87">
        <f t="shared" si="121"/>
        <v>0</v>
      </c>
      <c r="N345" s="100"/>
    </row>
    <row r="346" s="3" customFormat="1" hidden="1" spans="1:14">
      <c r="A346" s="83" t="s">
        <v>155</v>
      </c>
      <c r="B346" s="84">
        <v>2082501</v>
      </c>
      <c r="C346" s="85" t="s">
        <v>425</v>
      </c>
      <c r="D346" s="86"/>
      <c r="E346" s="86"/>
      <c r="F346" s="86"/>
      <c r="G346" s="87">
        <f t="shared" si="117"/>
        <v>0</v>
      </c>
      <c r="H346" s="88"/>
      <c r="I346" s="86">
        <f t="shared" si="118"/>
        <v>0</v>
      </c>
      <c r="J346" s="87">
        <f t="shared" si="119"/>
        <v>0</v>
      </c>
      <c r="K346" s="88"/>
      <c r="L346" s="88">
        <f t="shared" si="120"/>
        <v>0</v>
      </c>
      <c r="M346" s="87">
        <f t="shared" si="121"/>
        <v>0</v>
      </c>
      <c r="N346" s="100"/>
    </row>
    <row r="347" s="3" customFormat="1" hidden="1" spans="1:14">
      <c r="A347" s="83" t="s">
        <v>155</v>
      </c>
      <c r="B347" s="84">
        <v>2082502</v>
      </c>
      <c r="C347" s="85" t="s">
        <v>426</v>
      </c>
      <c r="D347" s="86"/>
      <c r="E347" s="86"/>
      <c r="F347" s="86"/>
      <c r="G347" s="87">
        <f t="shared" si="117"/>
        <v>0</v>
      </c>
      <c r="H347" s="88"/>
      <c r="I347" s="86">
        <f t="shared" si="118"/>
        <v>0</v>
      </c>
      <c r="J347" s="87">
        <f t="shared" si="119"/>
        <v>0</v>
      </c>
      <c r="K347" s="88"/>
      <c r="L347" s="88">
        <f t="shared" si="120"/>
        <v>0</v>
      </c>
      <c r="M347" s="87">
        <f t="shared" si="121"/>
        <v>0</v>
      </c>
      <c r="N347" s="100"/>
    </row>
    <row r="348" s="3" customFormat="1" spans="1:14">
      <c r="A348" s="83" t="s">
        <v>153</v>
      </c>
      <c r="B348" s="84">
        <v>20826</v>
      </c>
      <c r="C348" s="85" t="s">
        <v>427</v>
      </c>
      <c r="D348" s="86">
        <f t="shared" ref="D348:F348" si="128">SUM(D349:D351)</f>
        <v>1321</v>
      </c>
      <c r="E348" s="86">
        <f t="shared" si="128"/>
        <v>1321</v>
      </c>
      <c r="F348" s="86">
        <f t="shared" si="128"/>
        <v>1319</v>
      </c>
      <c r="G348" s="87">
        <f t="shared" si="117"/>
        <v>99.8485995457986</v>
      </c>
      <c r="H348" s="88">
        <f>SUM(H349:H351)</f>
        <v>1575</v>
      </c>
      <c r="I348" s="86">
        <f t="shared" si="118"/>
        <v>-256</v>
      </c>
      <c r="J348" s="87">
        <f t="shared" si="119"/>
        <v>-16.2539682539683</v>
      </c>
      <c r="K348" s="88">
        <f>SUM(K349:K351)</f>
        <v>1817</v>
      </c>
      <c r="L348" s="88">
        <f t="shared" si="120"/>
        <v>496</v>
      </c>
      <c r="M348" s="87">
        <f t="shared" si="121"/>
        <v>37.5473126419379</v>
      </c>
      <c r="N348" s="100"/>
    </row>
    <row r="349" s="3" customFormat="1" spans="1:14">
      <c r="A349" s="83" t="s">
        <v>155</v>
      </c>
      <c r="B349" s="84">
        <v>2082601</v>
      </c>
      <c r="C349" s="85" t="s">
        <v>428</v>
      </c>
      <c r="D349" s="86"/>
      <c r="E349" s="86"/>
      <c r="F349" s="114"/>
      <c r="G349" s="87">
        <f t="shared" si="117"/>
        <v>0</v>
      </c>
      <c r="H349" s="111"/>
      <c r="I349" s="86">
        <f t="shared" si="118"/>
        <v>0</v>
      </c>
      <c r="J349" s="87">
        <f t="shared" si="119"/>
        <v>0</v>
      </c>
      <c r="K349" s="88"/>
      <c r="L349" s="88">
        <f t="shared" si="120"/>
        <v>0</v>
      </c>
      <c r="M349" s="87">
        <f t="shared" si="121"/>
        <v>0</v>
      </c>
      <c r="N349" s="100"/>
    </row>
    <row r="350" s="3" customFormat="1" spans="1:14">
      <c r="A350" s="83" t="s">
        <v>155</v>
      </c>
      <c r="B350" s="84">
        <v>2082602</v>
      </c>
      <c r="C350" s="85" t="s">
        <v>429</v>
      </c>
      <c r="D350" s="86">
        <f>30+81+986+224</f>
        <v>1321</v>
      </c>
      <c r="E350" s="86">
        <f>30+81+986+224</f>
        <v>1321</v>
      </c>
      <c r="F350" s="86">
        <v>1319</v>
      </c>
      <c r="G350" s="87">
        <f t="shared" si="117"/>
        <v>99.8485995457986</v>
      </c>
      <c r="H350" s="88">
        <v>723</v>
      </c>
      <c r="I350" s="86">
        <f t="shared" si="118"/>
        <v>596</v>
      </c>
      <c r="J350" s="87">
        <f t="shared" si="119"/>
        <v>82.4343015214384</v>
      </c>
      <c r="K350" s="88">
        <f>959+134+724</f>
        <v>1817</v>
      </c>
      <c r="L350" s="88">
        <f t="shared" si="120"/>
        <v>496</v>
      </c>
      <c r="M350" s="87">
        <f t="shared" si="121"/>
        <v>37.5473126419379</v>
      </c>
      <c r="N350" s="100"/>
    </row>
    <row r="351" s="3" customFormat="1" spans="1:14">
      <c r="A351" s="83" t="s">
        <v>155</v>
      </c>
      <c r="B351" s="84">
        <v>2082699</v>
      </c>
      <c r="C351" s="85" t="s">
        <v>430</v>
      </c>
      <c r="D351" s="86"/>
      <c r="E351" s="86"/>
      <c r="F351" s="86"/>
      <c r="G351" s="87">
        <f t="shared" si="117"/>
        <v>0</v>
      </c>
      <c r="H351" s="88">
        <v>852</v>
      </c>
      <c r="I351" s="86">
        <f t="shared" si="118"/>
        <v>-852</v>
      </c>
      <c r="J351" s="87">
        <f t="shared" si="119"/>
        <v>-100</v>
      </c>
      <c r="K351" s="88"/>
      <c r="L351" s="88">
        <f t="shared" si="120"/>
        <v>0</v>
      </c>
      <c r="M351" s="87">
        <f t="shared" si="121"/>
        <v>0</v>
      </c>
      <c r="N351" s="100"/>
    </row>
    <row r="352" s="3" customFormat="1" ht="15" customHeight="1" spans="1:14">
      <c r="A352" s="83" t="s">
        <v>153</v>
      </c>
      <c r="B352" s="84">
        <v>20827</v>
      </c>
      <c r="C352" s="85" t="s">
        <v>431</v>
      </c>
      <c r="D352" s="86">
        <f t="shared" ref="D352:F352" si="129">SUM(D355:D355)</f>
        <v>1</v>
      </c>
      <c r="E352" s="86">
        <f t="shared" si="129"/>
        <v>1</v>
      </c>
      <c r="F352" s="86">
        <f t="shared" si="129"/>
        <v>0</v>
      </c>
      <c r="G352" s="87">
        <f t="shared" si="117"/>
        <v>0</v>
      </c>
      <c r="H352" s="88">
        <f>SUM(H355:H355)</f>
        <v>0</v>
      </c>
      <c r="I352" s="86">
        <f t="shared" si="118"/>
        <v>0</v>
      </c>
      <c r="J352" s="87">
        <f t="shared" si="119"/>
        <v>0</v>
      </c>
      <c r="K352" s="88">
        <f>SUM(K353:K355)</f>
        <v>4</v>
      </c>
      <c r="L352" s="88">
        <f t="shared" si="120"/>
        <v>3</v>
      </c>
      <c r="M352" s="87">
        <f t="shared" si="121"/>
        <v>300</v>
      </c>
      <c r="N352" s="100"/>
    </row>
    <row r="353" s="3" customFormat="1" spans="1:14">
      <c r="A353" s="83" t="s">
        <v>155</v>
      </c>
      <c r="B353" s="84">
        <v>2080701</v>
      </c>
      <c r="C353" s="85" t="s">
        <v>432</v>
      </c>
      <c r="D353" s="86"/>
      <c r="E353" s="86"/>
      <c r="F353" s="86"/>
      <c r="G353" s="87">
        <f t="shared" si="117"/>
        <v>0</v>
      </c>
      <c r="H353" s="88"/>
      <c r="I353" s="86">
        <f t="shared" si="118"/>
        <v>0</v>
      </c>
      <c r="J353" s="87">
        <f t="shared" si="119"/>
        <v>0</v>
      </c>
      <c r="K353" s="88">
        <v>3</v>
      </c>
      <c r="L353" s="88">
        <f t="shared" si="120"/>
        <v>3</v>
      </c>
      <c r="M353" s="87">
        <f t="shared" si="121"/>
        <v>0</v>
      </c>
      <c r="N353" s="100"/>
    </row>
    <row r="354" s="3" customFormat="1" spans="1:14">
      <c r="A354" s="83" t="s">
        <v>155</v>
      </c>
      <c r="B354" s="84">
        <v>2080702</v>
      </c>
      <c r="C354" s="85" t="s">
        <v>433</v>
      </c>
      <c r="D354" s="86"/>
      <c r="E354" s="86"/>
      <c r="F354" s="86"/>
      <c r="G354" s="87">
        <f t="shared" si="117"/>
        <v>0</v>
      </c>
      <c r="H354" s="88"/>
      <c r="I354" s="86">
        <f t="shared" si="118"/>
        <v>0</v>
      </c>
      <c r="J354" s="87">
        <f t="shared" si="119"/>
        <v>0</v>
      </c>
      <c r="K354" s="88">
        <v>1</v>
      </c>
      <c r="L354" s="88">
        <f t="shared" si="120"/>
        <v>1</v>
      </c>
      <c r="M354" s="87">
        <f t="shared" si="121"/>
        <v>0</v>
      </c>
      <c r="N354" s="100"/>
    </row>
    <row r="355" s="3" customFormat="1" spans="1:14">
      <c r="A355" s="83" t="s">
        <v>155</v>
      </c>
      <c r="B355" s="84">
        <v>2082799</v>
      </c>
      <c r="C355" s="85" t="s">
        <v>434</v>
      </c>
      <c r="D355" s="86">
        <v>1</v>
      </c>
      <c r="E355" s="86">
        <v>1</v>
      </c>
      <c r="F355" s="86"/>
      <c r="G355" s="87">
        <f t="shared" si="117"/>
        <v>0</v>
      </c>
      <c r="H355" s="88"/>
      <c r="I355" s="86">
        <f t="shared" si="118"/>
        <v>0</v>
      </c>
      <c r="J355" s="87">
        <f t="shared" si="119"/>
        <v>0</v>
      </c>
      <c r="K355" s="88"/>
      <c r="L355" s="88">
        <f t="shared" si="120"/>
        <v>-1</v>
      </c>
      <c r="M355" s="87">
        <f t="shared" si="121"/>
        <v>-100</v>
      </c>
      <c r="N355" s="100"/>
    </row>
    <row r="356" s="3" customFormat="1" spans="1:14">
      <c r="A356" s="83" t="s">
        <v>153</v>
      </c>
      <c r="B356" s="84">
        <v>20828</v>
      </c>
      <c r="C356" s="115" t="s">
        <v>435</v>
      </c>
      <c r="D356" s="86">
        <f t="shared" ref="D356:F356" si="130">SUM(D357:D360)</f>
        <v>52</v>
      </c>
      <c r="E356" s="86">
        <f t="shared" si="130"/>
        <v>52</v>
      </c>
      <c r="F356" s="86">
        <f t="shared" si="130"/>
        <v>94</v>
      </c>
      <c r="G356" s="87">
        <f t="shared" si="117"/>
        <v>180.769230769231</v>
      </c>
      <c r="H356" s="88">
        <f>SUM(H357:H360)</f>
        <v>56</v>
      </c>
      <c r="I356" s="86">
        <f t="shared" si="118"/>
        <v>38</v>
      </c>
      <c r="J356" s="87">
        <f t="shared" si="119"/>
        <v>67.8571428571429</v>
      </c>
      <c r="K356" s="88">
        <f>SUM(K357:K360)</f>
        <v>151</v>
      </c>
      <c r="L356" s="88">
        <f t="shared" si="120"/>
        <v>99</v>
      </c>
      <c r="M356" s="87">
        <f t="shared" si="121"/>
        <v>190.384615384615</v>
      </c>
      <c r="N356" s="100"/>
    </row>
    <row r="357" s="3" customFormat="1" spans="1:14">
      <c r="A357" s="83" t="s">
        <v>155</v>
      </c>
      <c r="B357" s="84">
        <v>2082801</v>
      </c>
      <c r="C357" s="85" t="s">
        <v>156</v>
      </c>
      <c r="D357" s="86">
        <v>30</v>
      </c>
      <c r="E357" s="86">
        <v>30</v>
      </c>
      <c r="F357" s="86">
        <v>31</v>
      </c>
      <c r="G357" s="87">
        <f t="shared" si="117"/>
        <v>103.333333333333</v>
      </c>
      <c r="H357" s="88">
        <v>23</v>
      </c>
      <c r="I357" s="86">
        <f t="shared" si="118"/>
        <v>8</v>
      </c>
      <c r="J357" s="87">
        <f t="shared" si="119"/>
        <v>34.7826086956522</v>
      </c>
      <c r="K357" s="88">
        <v>25</v>
      </c>
      <c r="L357" s="88">
        <f t="shared" si="120"/>
        <v>-5</v>
      </c>
      <c r="M357" s="87">
        <f t="shared" si="121"/>
        <v>-16.6666666666667</v>
      </c>
      <c r="N357" s="100"/>
    </row>
    <row r="358" s="3" customFormat="1" spans="1:14">
      <c r="A358" s="83" t="s">
        <v>155</v>
      </c>
      <c r="B358" s="84">
        <v>2082804</v>
      </c>
      <c r="C358" s="85" t="s">
        <v>436</v>
      </c>
      <c r="D358" s="86">
        <v>2</v>
      </c>
      <c r="E358" s="86">
        <v>2</v>
      </c>
      <c r="F358" s="114">
        <v>4</v>
      </c>
      <c r="G358" s="87">
        <f t="shared" si="117"/>
        <v>200</v>
      </c>
      <c r="H358" s="111">
        <v>17</v>
      </c>
      <c r="I358" s="86">
        <f t="shared" si="118"/>
        <v>-13</v>
      </c>
      <c r="J358" s="87">
        <f t="shared" si="119"/>
        <v>-76.4705882352941</v>
      </c>
      <c r="K358" s="88"/>
      <c r="L358" s="88">
        <f t="shared" si="120"/>
        <v>-2</v>
      </c>
      <c r="M358" s="87">
        <f t="shared" si="121"/>
        <v>-100</v>
      </c>
      <c r="N358" s="100"/>
    </row>
    <row r="359" s="3" customFormat="1" spans="1:14">
      <c r="A359" s="83" t="s">
        <v>155</v>
      </c>
      <c r="B359" s="84">
        <v>2082850</v>
      </c>
      <c r="C359" s="85" t="s">
        <v>172</v>
      </c>
      <c r="D359" s="86"/>
      <c r="E359" s="86"/>
      <c r="F359" s="114">
        <v>26</v>
      </c>
      <c r="G359" s="87">
        <f t="shared" si="117"/>
        <v>0</v>
      </c>
      <c r="H359" s="111">
        <v>12</v>
      </c>
      <c r="I359" s="86">
        <f t="shared" si="118"/>
        <v>14</v>
      </c>
      <c r="J359" s="87">
        <f t="shared" si="119"/>
        <v>116.666666666667</v>
      </c>
      <c r="K359" s="88">
        <v>35</v>
      </c>
      <c r="L359" s="88">
        <f t="shared" si="120"/>
        <v>35</v>
      </c>
      <c r="M359" s="87">
        <f t="shared" si="121"/>
        <v>0</v>
      </c>
      <c r="N359" s="100"/>
    </row>
    <row r="360" s="3" customFormat="1" spans="1:14">
      <c r="A360" s="83" t="s">
        <v>155</v>
      </c>
      <c r="B360" s="84">
        <v>2082899</v>
      </c>
      <c r="C360" s="85" t="s">
        <v>437</v>
      </c>
      <c r="D360" s="86">
        <v>20</v>
      </c>
      <c r="E360" s="86">
        <v>20</v>
      </c>
      <c r="F360" s="86">
        <v>33</v>
      </c>
      <c r="G360" s="87">
        <f t="shared" si="117"/>
        <v>165</v>
      </c>
      <c r="H360" s="88">
        <v>4</v>
      </c>
      <c r="I360" s="86">
        <f t="shared" si="118"/>
        <v>29</v>
      </c>
      <c r="J360" s="87">
        <f t="shared" si="119"/>
        <v>725</v>
      </c>
      <c r="K360" s="88">
        <f>72+18+1</f>
        <v>91</v>
      </c>
      <c r="L360" s="88">
        <f t="shared" si="120"/>
        <v>71</v>
      </c>
      <c r="M360" s="87">
        <f t="shared" si="121"/>
        <v>355</v>
      </c>
      <c r="N360" s="100"/>
    </row>
    <row r="361" s="3" customFormat="1" spans="1:14">
      <c r="A361" s="83" t="s">
        <v>153</v>
      </c>
      <c r="B361" s="84">
        <v>20830</v>
      </c>
      <c r="C361" s="85" t="s">
        <v>438</v>
      </c>
      <c r="D361" s="86">
        <f t="shared" ref="D361:F361" si="131">SUM(D362:D363)</f>
        <v>0</v>
      </c>
      <c r="E361" s="86">
        <f t="shared" si="131"/>
        <v>46</v>
      </c>
      <c r="F361" s="86">
        <f t="shared" si="131"/>
        <v>272</v>
      </c>
      <c r="G361" s="87">
        <f t="shared" si="117"/>
        <v>591.304347826087</v>
      </c>
      <c r="H361" s="88">
        <f>SUM(H362:H363)</f>
        <v>0</v>
      </c>
      <c r="I361" s="86">
        <f t="shared" si="118"/>
        <v>272</v>
      </c>
      <c r="J361" s="87">
        <f t="shared" si="119"/>
        <v>0</v>
      </c>
      <c r="K361" s="88">
        <f>SUM(K362:K363)</f>
        <v>322</v>
      </c>
      <c r="L361" s="88">
        <f t="shared" si="120"/>
        <v>322</v>
      </c>
      <c r="M361" s="87">
        <f t="shared" si="121"/>
        <v>0</v>
      </c>
      <c r="N361" s="100"/>
    </row>
    <row r="362" s="3" customFormat="1" spans="1:14">
      <c r="A362" s="83" t="s">
        <v>155</v>
      </c>
      <c r="B362" s="84">
        <v>2083001</v>
      </c>
      <c r="C362" s="85" t="s">
        <v>439</v>
      </c>
      <c r="D362" s="86"/>
      <c r="E362" s="86">
        <v>46</v>
      </c>
      <c r="F362" s="86">
        <v>226</v>
      </c>
      <c r="G362" s="87">
        <f t="shared" si="117"/>
        <v>491.304347826087</v>
      </c>
      <c r="H362" s="88"/>
      <c r="I362" s="86">
        <f t="shared" si="118"/>
        <v>226</v>
      </c>
      <c r="J362" s="87">
        <f t="shared" si="119"/>
        <v>0</v>
      </c>
      <c r="K362" s="88">
        <v>272</v>
      </c>
      <c r="L362" s="88">
        <f t="shared" si="120"/>
        <v>272</v>
      </c>
      <c r="M362" s="87">
        <f t="shared" si="121"/>
        <v>0</v>
      </c>
      <c r="N362" s="100"/>
    </row>
    <row r="363" s="3" customFormat="1" spans="1:14">
      <c r="A363" s="83" t="s">
        <v>155</v>
      </c>
      <c r="B363" s="84">
        <v>2083099</v>
      </c>
      <c r="C363" s="85" t="s">
        <v>440</v>
      </c>
      <c r="D363" s="86"/>
      <c r="E363" s="86"/>
      <c r="F363" s="86">
        <v>46</v>
      </c>
      <c r="G363" s="87">
        <f t="shared" si="117"/>
        <v>0</v>
      </c>
      <c r="H363" s="88"/>
      <c r="I363" s="86">
        <f t="shared" si="118"/>
        <v>46</v>
      </c>
      <c r="J363" s="87">
        <f t="shared" si="119"/>
        <v>0</v>
      </c>
      <c r="K363" s="88">
        <v>50</v>
      </c>
      <c r="L363" s="88">
        <f t="shared" si="120"/>
        <v>50</v>
      </c>
      <c r="M363" s="87">
        <f t="shared" si="121"/>
        <v>0</v>
      </c>
      <c r="N363" s="100"/>
    </row>
    <row r="364" s="3" customFormat="1" spans="1:14">
      <c r="A364" s="83" t="s">
        <v>153</v>
      </c>
      <c r="B364" s="84">
        <v>20899</v>
      </c>
      <c r="C364" s="85" t="s">
        <v>441</v>
      </c>
      <c r="D364" s="86">
        <f t="shared" ref="D364:F364" si="132">D365</f>
        <v>53</v>
      </c>
      <c r="E364" s="86">
        <f t="shared" si="132"/>
        <v>1</v>
      </c>
      <c r="F364" s="86">
        <f t="shared" si="132"/>
        <v>1</v>
      </c>
      <c r="G364" s="87">
        <f t="shared" si="117"/>
        <v>100</v>
      </c>
      <c r="H364" s="86">
        <f>H365</f>
        <v>2</v>
      </c>
      <c r="I364" s="86">
        <f t="shared" si="118"/>
        <v>-1</v>
      </c>
      <c r="J364" s="87">
        <f t="shared" si="119"/>
        <v>-50</v>
      </c>
      <c r="K364" s="86">
        <f>K365</f>
        <v>25</v>
      </c>
      <c r="L364" s="88">
        <f t="shared" si="120"/>
        <v>-28</v>
      </c>
      <c r="M364" s="87">
        <f t="shared" si="121"/>
        <v>-52.8301886792453</v>
      </c>
      <c r="N364" s="100"/>
    </row>
    <row r="365" s="3" customFormat="1" spans="1:14">
      <c r="A365" s="83" t="s">
        <v>155</v>
      </c>
      <c r="B365" s="84">
        <v>2089999</v>
      </c>
      <c r="C365" s="85" t="s">
        <v>442</v>
      </c>
      <c r="D365" s="86">
        <v>53</v>
      </c>
      <c r="E365" s="86">
        <v>1</v>
      </c>
      <c r="F365" s="86">
        <v>1</v>
      </c>
      <c r="G365" s="87">
        <f t="shared" si="117"/>
        <v>100</v>
      </c>
      <c r="H365" s="88">
        <v>2</v>
      </c>
      <c r="I365" s="86">
        <f t="shared" si="118"/>
        <v>-1</v>
      </c>
      <c r="J365" s="87">
        <f t="shared" si="119"/>
        <v>-50</v>
      </c>
      <c r="K365" s="88">
        <v>25</v>
      </c>
      <c r="L365" s="88">
        <f t="shared" si="120"/>
        <v>-28</v>
      </c>
      <c r="M365" s="87">
        <f t="shared" si="121"/>
        <v>-52.8301886792453</v>
      </c>
      <c r="N365" s="100"/>
    </row>
    <row r="366" s="3" customFormat="1" spans="1:14">
      <c r="A366" s="83" t="s">
        <v>151</v>
      </c>
      <c r="B366" s="84">
        <v>210</v>
      </c>
      <c r="C366" s="85" t="s">
        <v>443</v>
      </c>
      <c r="D366" s="86">
        <f t="shared" ref="D366:F366" si="133">SUM(D367,D372,D374,D377,D386,D388,D392,D397,D401,D404,D407,D409,D411)</f>
        <v>4863</v>
      </c>
      <c r="E366" s="86">
        <f t="shared" si="133"/>
        <v>4598</v>
      </c>
      <c r="F366" s="86">
        <f t="shared" si="133"/>
        <v>4774</v>
      </c>
      <c r="G366" s="87">
        <f t="shared" si="117"/>
        <v>103.827751196172</v>
      </c>
      <c r="H366" s="86">
        <f>SUM(H367,H372,H374,H377,H386,H388,H392,H397,H401,H404,H407,H409,H411)</f>
        <v>4574</v>
      </c>
      <c r="I366" s="86">
        <f t="shared" si="118"/>
        <v>200</v>
      </c>
      <c r="J366" s="87">
        <f t="shared" si="119"/>
        <v>4.37254044599913</v>
      </c>
      <c r="K366" s="88">
        <f>SUM(K367,K372,K374,K377,K386,K388,K392,K397,K401,K404,K407,K409,K411)</f>
        <v>5094</v>
      </c>
      <c r="L366" s="88">
        <f t="shared" si="120"/>
        <v>231</v>
      </c>
      <c r="M366" s="87">
        <f t="shared" si="121"/>
        <v>4.75015422578655</v>
      </c>
      <c r="N366" s="100"/>
    </row>
    <row r="367" s="3" customFormat="1" spans="1:14">
      <c r="A367" s="83" t="s">
        <v>153</v>
      </c>
      <c r="B367" s="84">
        <v>21001</v>
      </c>
      <c r="C367" s="85" t="s">
        <v>444</v>
      </c>
      <c r="D367" s="86">
        <f t="shared" ref="D367:F367" si="134">SUM(D368:D371)</f>
        <v>443</v>
      </c>
      <c r="E367" s="86">
        <f t="shared" si="134"/>
        <v>285</v>
      </c>
      <c r="F367" s="92">
        <f t="shared" si="134"/>
        <v>284</v>
      </c>
      <c r="G367" s="87">
        <f t="shared" si="117"/>
        <v>99.6491228070175</v>
      </c>
      <c r="H367" s="88">
        <f>SUM(H368:H371)</f>
        <v>264</v>
      </c>
      <c r="I367" s="86">
        <f t="shared" si="118"/>
        <v>20</v>
      </c>
      <c r="J367" s="87">
        <f t="shared" si="119"/>
        <v>7.57575757575758</v>
      </c>
      <c r="K367" s="88">
        <f>SUM(K368:K371)</f>
        <v>79</v>
      </c>
      <c r="L367" s="88">
        <f t="shared" si="120"/>
        <v>-364</v>
      </c>
      <c r="M367" s="87">
        <f t="shared" si="121"/>
        <v>-82.1670428893905</v>
      </c>
      <c r="N367" s="100"/>
    </row>
    <row r="368" s="3" customFormat="1" spans="1:14">
      <c r="A368" s="83" t="s">
        <v>155</v>
      </c>
      <c r="B368" s="84">
        <v>2100101</v>
      </c>
      <c r="C368" s="85" t="s">
        <v>156</v>
      </c>
      <c r="D368" s="86">
        <f>165+80</f>
        <v>245</v>
      </c>
      <c r="E368" s="86">
        <v>165</v>
      </c>
      <c r="F368" s="110">
        <v>165</v>
      </c>
      <c r="G368" s="87">
        <f t="shared" si="117"/>
        <v>100</v>
      </c>
      <c r="H368" s="111">
        <v>188</v>
      </c>
      <c r="I368" s="86">
        <f t="shared" si="118"/>
        <v>-23</v>
      </c>
      <c r="J368" s="87">
        <f t="shared" si="119"/>
        <v>-12.2340425531915</v>
      </c>
      <c r="K368" s="88">
        <v>79</v>
      </c>
      <c r="L368" s="88">
        <f t="shared" si="120"/>
        <v>-166</v>
      </c>
      <c r="M368" s="87">
        <f t="shared" si="121"/>
        <v>-67.7551020408163</v>
      </c>
      <c r="N368" s="100"/>
    </row>
    <row r="369" s="3" customFormat="1" spans="1:14">
      <c r="A369" s="83" t="s">
        <v>155</v>
      </c>
      <c r="B369" s="84">
        <v>2100102</v>
      </c>
      <c r="C369" s="85" t="s">
        <v>157</v>
      </c>
      <c r="D369" s="86"/>
      <c r="E369" s="86">
        <v>35</v>
      </c>
      <c r="F369" s="110">
        <v>34</v>
      </c>
      <c r="G369" s="87">
        <f t="shared" si="117"/>
        <v>97.1428571428571</v>
      </c>
      <c r="H369" s="111">
        <v>14</v>
      </c>
      <c r="I369" s="86">
        <f t="shared" si="118"/>
        <v>20</v>
      </c>
      <c r="J369" s="87">
        <f t="shared" si="119"/>
        <v>142.857142857143</v>
      </c>
      <c r="K369" s="88"/>
      <c r="L369" s="88">
        <f t="shared" si="120"/>
        <v>0</v>
      </c>
      <c r="M369" s="87">
        <f t="shared" si="121"/>
        <v>0</v>
      </c>
      <c r="N369" s="100"/>
    </row>
    <row r="370" s="3" customFormat="1" spans="1:14">
      <c r="A370" s="83" t="s">
        <v>155</v>
      </c>
      <c r="B370" s="84">
        <v>2100103</v>
      </c>
      <c r="C370" s="85" t="s">
        <v>158</v>
      </c>
      <c r="D370" s="86"/>
      <c r="E370" s="86"/>
      <c r="F370" s="110">
        <v>0</v>
      </c>
      <c r="G370" s="87">
        <f t="shared" si="117"/>
        <v>0</v>
      </c>
      <c r="H370" s="111"/>
      <c r="I370" s="86">
        <f t="shared" si="118"/>
        <v>0</v>
      </c>
      <c r="J370" s="87">
        <f t="shared" si="119"/>
        <v>0</v>
      </c>
      <c r="K370" s="88"/>
      <c r="L370" s="88">
        <f t="shared" si="120"/>
        <v>0</v>
      </c>
      <c r="M370" s="87">
        <f t="shared" si="121"/>
        <v>0</v>
      </c>
      <c r="N370" s="100"/>
    </row>
    <row r="371" s="3" customFormat="1" spans="1:14">
      <c r="A371" s="83" t="s">
        <v>155</v>
      </c>
      <c r="B371" s="84">
        <v>2100199</v>
      </c>
      <c r="C371" s="85" t="s">
        <v>445</v>
      </c>
      <c r="D371" s="86">
        <f>9+189</f>
        <v>198</v>
      </c>
      <c r="E371" s="86">
        <v>85</v>
      </c>
      <c r="F371" s="110">
        <v>85</v>
      </c>
      <c r="G371" s="87">
        <f t="shared" si="117"/>
        <v>100</v>
      </c>
      <c r="H371" s="111">
        <v>62</v>
      </c>
      <c r="I371" s="86">
        <f t="shared" si="118"/>
        <v>23</v>
      </c>
      <c r="J371" s="87">
        <f t="shared" si="119"/>
        <v>37.0967741935484</v>
      </c>
      <c r="K371" s="88"/>
      <c r="L371" s="88">
        <f t="shared" si="120"/>
        <v>-198</v>
      </c>
      <c r="M371" s="87">
        <f t="shared" si="121"/>
        <v>-100</v>
      </c>
      <c r="N371" s="100"/>
    </row>
    <row r="372" s="3" customFormat="1" spans="1:14">
      <c r="A372" s="83" t="s">
        <v>153</v>
      </c>
      <c r="B372" s="84">
        <v>21002</v>
      </c>
      <c r="C372" s="85" t="s">
        <v>446</v>
      </c>
      <c r="D372" s="86">
        <f t="shared" ref="D372:F372" si="135">SUM(D373:D373)</f>
        <v>0</v>
      </c>
      <c r="E372" s="86">
        <f t="shared" si="135"/>
        <v>0</v>
      </c>
      <c r="F372" s="92">
        <f t="shared" si="135"/>
        <v>0</v>
      </c>
      <c r="G372" s="87">
        <f t="shared" si="117"/>
        <v>0</v>
      </c>
      <c r="H372" s="88">
        <f>SUM(H373:H373)</f>
        <v>242</v>
      </c>
      <c r="I372" s="86">
        <f t="shared" si="118"/>
        <v>-242</v>
      </c>
      <c r="J372" s="87">
        <f t="shared" si="119"/>
        <v>-100</v>
      </c>
      <c r="K372" s="88">
        <f>SUM(K373:K373)</f>
        <v>0</v>
      </c>
      <c r="L372" s="88">
        <f t="shared" si="120"/>
        <v>0</v>
      </c>
      <c r="M372" s="87">
        <f t="shared" si="121"/>
        <v>0</v>
      </c>
      <c r="N372" s="100"/>
    </row>
    <row r="373" s="3" customFormat="1" spans="1:14">
      <c r="A373" s="83" t="s">
        <v>155</v>
      </c>
      <c r="B373" s="84">
        <v>2100201</v>
      </c>
      <c r="C373" s="85" t="s">
        <v>447</v>
      </c>
      <c r="D373" s="86"/>
      <c r="E373" s="86"/>
      <c r="F373" s="110"/>
      <c r="G373" s="87">
        <f t="shared" si="117"/>
        <v>0</v>
      </c>
      <c r="H373" s="111">
        <v>242</v>
      </c>
      <c r="I373" s="86">
        <f t="shared" si="118"/>
        <v>-242</v>
      </c>
      <c r="J373" s="87">
        <f t="shared" si="119"/>
        <v>-100</v>
      </c>
      <c r="K373" s="88"/>
      <c r="L373" s="88">
        <f t="shared" si="120"/>
        <v>0</v>
      </c>
      <c r="M373" s="87">
        <f t="shared" si="121"/>
        <v>0</v>
      </c>
      <c r="N373" s="100"/>
    </row>
    <row r="374" s="3" customFormat="1" spans="1:14">
      <c r="A374" s="83" t="s">
        <v>153</v>
      </c>
      <c r="B374" s="84">
        <v>21003</v>
      </c>
      <c r="C374" s="85" t="s">
        <v>448</v>
      </c>
      <c r="D374" s="86">
        <f t="shared" ref="D374:F374" si="136">SUM(D375:D376)</f>
        <v>921</v>
      </c>
      <c r="E374" s="86">
        <f t="shared" si="136"/>
        <v>995</v>
      </c>
      <c r="F374" s="92">
        <f t="shared" si="136"/>
        <v>1123</v>
      </c>
      <c r="G374" s="87">
        <f t="shared" si="117"/>
        <v>112.86432160804</v>
      </c>
      <c r="H374" s="88">
        <f>SUM(H375:H376)</f>
        <v>1091</v>
      </c>
      <c r="I374" s="86">
        <f t="shared" si="118"/>
        <v>32</v>
      </c>
      <c r="J374" s="87">
        <f t="shared" si="119"/>
        <v>2.93308890925756</v>
      </c>
      <c r="K374" s="88">
        <f>SUM(K375:K376)</f>
        <v>762</v>
      </c>
      <c r="L374" s="88">
        <f t="shared" si="120"/>
        <v>-159</v>
      </c>
      <c r="M374" s="87">
        <f t="shared" si="121"/>
        <v>-17.2638436482085</v>
      </c>
      <c r="N374" s="100"/>
    </row>
    <row r="375" s="3" customFormat="1" spans="1:14">
      <c r="A375" s="83" t="s">
        <v>155</v>
      </c>
      <c r="B375" s="84">
        <v>2100302</v>
      </c>
      <c r="C375" s="85" t="s">
        <v>449</v>
      </c>
      <c r="D375" s="86">
        <v>857</v>
      </c>
      <c r="E375" s="86">
        <f>74+857</f>
        <v>931</v>
      </c>
      <c r="F375" s="110">
        <v>1050</v>
      </c>
      <c r="G375" s="87">
        <f t="shared" si="117"/>
        <v>112.781954887218</v>
      </c>
      <c r="H375" s="111">
        <v>848</v>
      </c>
      <c r="I375" s="86">
        <f t="shared" si="118"/>
        <v>202</v>
      </c>
      <c r="J375" s="87">
        <f t="shared" si="119"/>
        <v>23.8207547169811</v>
      </c>
      <c r="K375" s="88">
        <v>702</v>
      </c>
      <c r="L375" s="88">
        <f t="shared" si="120"/>
        <v>-155</v>
      </c>
      <c r="M375" s="87">
        <f t="shared" si="121"/>
        <v>-18.0863477246208</v>
      </c>
      <c r="N375" s="100"/>
    </row>
    <row r="376" s="3" customFormat="1" spans="1:14">
      <c r="A376" s="83" t="s">
        <v>155</v>
      </c>
      <c r="B376" s="84">
        <v>2100399</v>
      </c>
      <c r="C376" s="85" t="s">
        <v>450</v>
      </c>
      <c r="D376" s="86">
        <f>59+5</f>
        <v>64</v>
      </c>
      <c r="E376" s="86">
        <f>59+5</f>
        <v>64</v>
      </c>
      <c r="F376" s="110">
        <v>73</v>
      </c>
      <c r="G376" s="87">
        <f t="shared" si="117"/>
        <v>114.0625</v>
      </c>
      <c r="H376" s="111">
        <v>243</v>
      </c>
      <c r="I376" s="86">
        <f t="shared" si="118"/>
        <v>-170</v>
      </c>
      <c r="J376" s="87">
        <f t="shared" si="119"/>
        <v>-69.9588477366255</v>
      </c>
      <c r="K376" s="88">
        <f>45+15</f>
        <v>60</v>
      </c>
      <c r="L376" s="88">
        <f t="shared" si="120"/>
        <v>-4</v>
      </c>
      <c r="M376" s="87">
        <f t="shared" si="121"/>
        <v>-6.25</v>
      </c>
      <c r="N376" s="100"/>
    </row>
    <row r="377" s="3" customFormat="1" spans="1:14">
      <c r="A377" s="83" t="s">
        <v>153</v>
      </c>
      <c r="B377" s="84">
        <v>21004</v>
      </c>
      <c r="C377" s="85" t="s">
        <v>451</v>
      </c>
      <c r="D377" s="86">
        <f t="shared" ref="D377:F377" si="137">SUM(D378:D385)</f>
        <v>1606</v>
      </c>
      <c r="E377" s="86">
        <f t="shared" si="137"/>
        <v>1606</v>
      </c>
      <c r="F377" s="92">
        <f t="shared" si="137"/>
        <v>1564</v>
      </c>
      <c r="G377" s="87">
        <f t="shared" si="117"/>
        <v>97.3848069738481</v>
      </c>
      <c r="H377" s="88">
        <f>SUM(H378:H385)</f>
        <v>978</v>
      </c>
      <c r="I377" s="86">
        <f t="shared" si="118"/>
        <v>586</v>
      </c>
      <c r="J377" s="87">
        <f t="shared" si="119"/>
        <v>59.918200408998</v>
      </c>
      <c r="K377" s="88">
        <f>SUM(K378:K385)</f>
        <v>1288</v>
      </c>
      <c r="L377" s="88">
        <f t="shared" si="120"/>
        <v>-318</v>
      </c>
      <c r="M377" s="87">
        <f t="shared" si="121"/>
        <v>-19.8007471980075</v>
      </c>
      <c r="N377" s="100"/>
    </row>
    <row r="378" s="3" customFormat="1" spans="1:14">
      <c r="A378" s="83" t="s">
        <v>155</v>
      </c>
      <c r="B378" s="84">
        <v>2100401</v>
      </c>
      <c r="C378" s="85" t="s">
        <v>452</v>
      </c>
      <c r="D378" s="86"/>
      <c r="E378" s="86"/>
      <c r="F378" s="19"/>
      <c r="G378" s="87">
        <f t="shared" si="117"/>
        <v>0</v>
      </c>
      <c r="H378" s="88"/>
      <c r="I378" s="86">
        <f t="shared" si="118"/>
        <v>0</v>
      </c>
      <c r="J378" s="87">
        <f t="shared" si="119"/>
        <v>0</v>
      </c>
      <c r="K378" s="88"/>
      <c r="L378" s="88">
        <f t="shared" si="120"/>
        <v>0</v>
      </c>
      <c r="M378" s="87">
        <f t="shared" si="121"/>
        <v>0</v>
      </c>
      <c r="N378" s="100"/>
    </row>
    <row r="379" s="3" customFormat="1" spans="1:14">
      <c r="A379" s="83" t="s">
        <v>155</v>
      </c>
      <c r="B379" s="84">
        <v>2100402</v>
      </c>
      <c r="C379" s="85" t="s">
        <v>453</v>
      </c>
      <c r="D379" s="86"/>
      <c r="E379" s="86"/>
      <c r="F379" s="110"/>
      <c r="G379" s="87">
        <f t="shared" si="117"/>
        <v>0</v>
      </c>
      <c r="H379" s="111">
        <v>30</v>
      </c>
      <c r="I379" s="86">
        <f t="shared" si="118"/>
        <v>-30</v>
      </c>
      <c r="J379" s="87">
        <f t="shared" si="119"/>
        <v>-100</v>
      </c>
      <c r="K379" s="88">
        <v>2</v>
      </c>
      <c r="L379" s="88">
        <f t="shared" si="120"/>
        <v>2</v>
      </c>
      <c r="M379" s="87">
        <f t="shared" si="121"/>
        <v>0</v>
      </c>
      <c r="N379" s="100"/>
    </row>
    <row r="380" s="3" customFormat="1" spans="1:14">
      <c r="A380" s="83" t="s">
        <v>155</v>
      </c>
      <c r="B380" s="84">
        <v>2100403</v>
      </c>
      <c r="C380" s="85" t="s">
        <v>454</v>
      </c>
      <c r="D380" s="86"/>
      <c r="E380" s="86"/>
      <c r="F380" s="110"/>
      <c r="G380" s="87">
        <f t="shared" si="117"/>
        <v>0</v>
      </c>
      <c r="H380" s="111"/>
      <c r="I380" s="86">
        <f t="shared" si="118"/>
        <v>0</v>
      </c>
      <c r="J380" s="87">
        <f t="shared" si="119"/>
        <v>0</v>
      </c>
      <c r="K380" s="88"/>
      <c r="L380" s="88">
        <f t="shared" si="120"/>
        <v>0</v>
      </c>
      <c r="M380" s="87">
        <f t="shared" si="121"/>
        <v>0</v>
      </c>
      <c r="N380" s="100"/>
    </row>
    <row r="381" s="3" customFormat="1" spans="1:14">
      <c r="A381" s="83" t="s">
        <v>155</v>
      </c>
      <c r="B381" s="84">
        <v>2100406</v>
      </c>
      <c r="C381" s="85" t="s">
        <v>455</v>
      </c>
      <c r="D381" s="86"/>
      <c r="E381" s="86"/>
      <c r="F381" s="110"/>
      <c r="G381" s="87">
        <f t="shared" si="117"/>
        <v>0</v>
      </c>
      <c r="H381" s="111"/>
      <c r="I381" s="86">
        <f t="shared" si="118"/>
        <v>0</v>
      </c>
      <c r="J381" s="87">
        <f t="shared" si="119"/>
        <v>0</v>
      </c>
      <c r="K381" s="88"/>
      <c r="L381" s="88">
        <f t="shared" si="120"/>
        <v>0</v>
      </c>
      <c r="M381" s="87">
        <f t="shared" si="121"/>
        <v>0</v>
      </c>
      <c r="N381" s="100"/>
    </row>
    <row r="382" s="3" customFormat="1" spans="1:14">
      <c r="A382" s="83" t="s">
        <v>155</v>
      </c>
      <c r="B382" s="84">
        <v>2100408</v>
      </c>
      <c r="C382" s="85" t="s">
        <v>456</v>
      </c>
      <c r="D382" s="86">
        <f>768+52+300+391</f>
        <v>1511</v>
      </c>
      <c r="E382" s="86">
        <f>768+52+300+391</f>
        <v>1511</v>
      </c>
      <c r="F382" s="110">
        <v>1544</v>
      </c>
      <c r="G382" s="87">
        <f t="shared" si="117"/>
        <v>102.183984116479</v>
      </c>
      <c r="H382" s="111">
        <v>890</v>
      </c>
      <c r="I382" s="86">
        <f t="shared" si="118"/>
        <v>654</v>
      </c>
      <c r="J382" s="87">
        <f t="shared" si="119"/>
        <v>73.4831460674157</v>
      </c>
      <c r="K382" s="88">
        <f>836+60+300</f>
        <v>1196</v>
      </c>
      <c r="L382" s="88">
        <f t="shared" si="120"/>
        <v>-315</v>
      </c>
      <c r="M382" s="87">
        <f t="shared" si="121"/>
        <v>-20.8471211118465</v>
      </c>
      <c r="N382" s="100"/>
    </row>
    <row r="383" s="3" customFormat="1" spans="1:14">
      <c r="A383" s="83" t="s">
        <v>155</v>
      </c>
      <c r="B383" s="84">
        <v>2100409</v>
      </c>
      <c r="C383" s="85" t="s">
        <v>457</v>
      </c>
      <c r="D383" s="86">
        <v>25</v>
      </c>
      <c r="E383" s="86">
        <v>25</v>
      </c>
      <c r="F383" s="19">
        <v>18</v>
      </c>
      <c r="G383" s="87">
        <f t="shared" si="117"/>
        <v>72</v>
      </c>
      <c r="H383" s="88">
        <v>39</v>
      </c>
      <c r="I383" s="86">
        <f t="shared" si="118"/>
        <v>-21</v>
      </c>
      <c r="J383" s="87">
        <f t="shared" si="119"/>
        <v>-53.8461538461538</v>
      </c>
      <c r="K383" s="88">
        <f>75+15</f>
        <v>90</v>
      </c>
      <c r="L383" s="88">
        <f t="shared" si="120"/>
        <v>65</v>
      </c>
      <c r="M383" s="87">
        <f t="shared" si="121"/>
        <v>260</v>
      </c>
      <c r="N383" s="100"/>
    </row>
    <row r="384" s="3" customFormat="1" spans="1:14">
      <c r="A384" s="83" t="s">
        <v>155</v>
      </c>
      <c r="B384" s="84">
        <v>2100410</v>
      </c>
      <c r="C384" s="85" t="s">
        <v>458</v>
      </c>
      <c r="D384" s="86">
        <v>8</v>
      </c>
      <c r="E384" s="86">
        <v>8</v>
      </c>
      <c r="F384" s="19"/>
      <c r="G384" s="87">
        <f t="shared" si="117"/>
        <v>0</v>
      </c>
      <c r="H384" s="88"/>
      <c r="I384" s="86">
        <f t="shared" si="118"/>
        <v>0</v>
      </c>
      <c r="J384" s="87">
        <f t="shared" si="119"/>
        <v>0</v>
      </c>
      <c r="K384" s="88"/>
      <c r="L384" s="88">
        <f t="shared" si="120"/>
        <v>-8</v>
      </c>
      <c r="M384" s="87">
        <f t="shared" si="121"/>
        <v>-100</v>
      </c>
      <c r="N384" s="100"/>
    </row>
    <row r="385" s="3" customFormat="1" spans="1:14">
      <c r="A385" s="83" t="s">
        <v>155</v>
      </c>
      <c r="B385" s="84">
        <v>2100499</v>
      </c>
      <c r="C385" s="85" t="s">
        <v>459</v>
      </c>
      <c r="D385" s="86">
        <f>62</f>
        <v>62</v>
      </c>
      <c r="E385" s="86">
        <f>62</f>
        <v>62</v>
      </c>
      <c r="F385" s="19">
        <v>2</v>
      </c>
      <c r="G385" s="87">
        <f t="shared" si="117"/>
        <v>3.2258064516129</v>
      </c>
      <c r="H385" s="88">
        <v>19</v>
      </c>
      <c r="I385" s="86">
        <f t="shared" si="118"/>
        <v>-17</v>
      </c>
      <c r="J385" s="87">
        <f t="shared" si="119"/>
        <v>-89.4736842105263</v>
      </c>
      <c r="K385" s="88"/>
      <c r="L385" s="88">
        <f t="shared" si="120"/>
        <v>-62</v>
      </c>
      <c r="M385" s="87">
        <f t="shared" si="121"/>
        <v>-100</v>
      </c>
      <c r="N385" s="100"/>
    </row>
    <row r="386" s="3" customFormat="1" spans="1:14">
      <c r="A386" s="83" t="s">
        <v>153</v>
      </c>
      <c r="B386" s="84">
        <v>21006</v>
      </c>
      <c r="C386" s="85" t="s">
        <v>460</v>
      </c>
      <c r="D386" s="86">
        <f t="shared" ref="D386:F386" si="138">SUM(D387:D387)</f>
        <v>0</v>
      </c>
      <c r="E386" s="86">
        <f t="shared" si="138"/>
        <v>0</v>
      </c>
      <c r="F386" s="92">
        <f t="shared" si="138"/>
        <v>0</v>
      </c>
      <c r="G386" s="87">
        <f t="shared" si="117"/>
        <v>0</v>
      </c>
      <c r="H386" s="88">
        <f>SUM(H387:H387)</f>
        <v>20</v>
      </c>
      <c r="I386" s="86">
        <f t="shared" si="118"/>
        <v>-20</v>
      </c>
      <c r="J386" s="87">
        <f t="shared" si="119"/>
        <v>-100</v>
      </c>
      <c r="K386" s="88">
        <f>SUM(K387:K387)</f>
        <v>20</v>
      </c>
      <c r="L386" s="88">
        <f t="shared" si="120"/>
        <v>20</v>
      </c>
      <c r="M386" s="87">
        <f t="shared" si="121"/>
        <v>0</v>
      </c>
      <c r="N386" s="100"/>
    </row>
    <row r="387" s="3" customFormat="1" spans="1:14">
      <c r="A387" s="83" t="s">
        <v>155</v>
      </c>
      <c r="B387" s="84">
        <v>2100601</v>
      </c>
      <c r="C387" s="85" t="s">
        <v>461</v>
      </c>
      <c r="D387" s="86"/>
      <c r="E387" s="86"/>
      <c r="F387" s="19"/>
      <c r="G387" s="87">
        <f t="shared" si="117"/>
        <v>0</v>
      </c>
      <c r="H387" s="88">
        <v>20</v>
      </c>
      <c r="I387" s="86">
        <f t="shared" si="118"/>
        <v>-20</v>
      </c>
      <c r="J387" s="87">
        <f t="shared" si="119"/>
        <v>-100</v>
      </c>
      <c r="K387" s="88">
        <v>20</v>
      </c>
      <c r="L387" s="88">
        <f t="shared" si="120"/>
        <v>20</v>
      </c>
      <c r="M387" s="87">
        <f t="shared" si="121"/>
        <v>0</v>
      </c>
      <c r="N387" s="100"/>
    </row>
    <row r="388" s="3" customFormat="1" spans="1:14">
      <c r="A388" s="83" t="s">
        <v>153</v>
      </c>
      <c r="B388" s="84">
        <v>21007</v>
      </c>
      <c r="C388" s="85" t="s">
        <v>462</v>
      </c>
      <c r="D388" s="86">
        <f t="shared" ref="D388:F388" si="139">SUM(D389:D391)</f>
        <v>309</v>
      </c>
      <c r="E388" s="86">
        <f t="shared" si="139"/>
        <v>309</v>
      </c>
      <c r="F388" s="92">
        <f t="shared" si="139"/>
        <v>254</v>
      </c>
      <c r="G388" s="87">
        <f t="shared" si="117"/>
        <v>82.2006472491909</v>
      </c>
      <c r="H388" s="88">
        <f>SUM(H389:H391)</f>
        <v>161</v>
      </c>
      <c r="I388" s="86">
        <f t="shared" si="118"/>
        <v>93</v>
      </c>
      <c r="J388" s="87">
        <f t="shared" si="119"/>
        <v>57.7639751552795</v>
      </c>
      <c r="K388" s="88">
        <f>SUM(K389:K391)</f>
        <v>388</v>
      </c>
      <c r="L388" s="88">
        <f t="shared" si="120"/>
        <v>79</v>
      </c>
      <c r="M388" s="87">
        <f t="shared" si="121"/>
        <v>25.5663430420712</v>
      </c>
      <c r="N388" s="100"/>
    </row>
    <row r="389" s="3" customFormat="1" spans="1:14">
      <c r="A389" s="83" t="s">
        <v>155</v>
      </c>
      <c r="B389" s="84">
        <v>2100716</v>
      </c>
      <c r="C389" s="85" t="s">
        <v>463</v>
      </c>
      <c r="D389" s="86">
        <v>162</v>
      </c>
      <c r="E389" s="86">
        <v>162</v>
      </c>
      <c r="F389" s="110">
        <v>127</v>
      </c>
      <c r="G389" s="87">
        <f t="shared" si="117"/>
        <v>78.3950617283951</v>
      </c>
      <c r="H389" s="111">
        <v>64</v>
      </c>
      <c r="I389" s="86">
        <f t="shared" si="118"/>
        <v>63</v>
      </c>
      <c r="J389" s="87">
        <f t="shared" si="119"/>
        <v>98.4375</v>
      </c>
      <c r="K389" s="88">
        <v>22</v>
      </c>
      <c r="L389" s="88">
        <f t="shared" si="120"/>
        <v>-140</v>
      </c>
      <c r="M389" s="87">
        <f t="shared" si="121"/>
        <v>-86.4197530864197</v>
      </c>
      <c r="N389" s="100"/>
    </row>
    <row r="390" s="3" customFormat="1" spans="1:14">
      <c r="A390" s="83" t="s">
        <v>155</v>
      </c>
      <c r="B390" s="84">
        <v>2100717</v>
      </c>
      <c r="C390" s="85" t="s">
        <v>464</v>
      </c>
      <c r="D390" s="86">
        <f>21+1</f>
        <v>22</v>
      </c>
      <c r="E390" s="86">
        <f>21+1</f>
        <v>22</v>
      </c>
      <c r="F390" s="110">
        <v>127</v>
      </c>
      <c r="G390" s="87">
        <f t="shared" si="117"/>
        <v>577.272727272727</v>
      </c>
      <c r="H390" s="111">
        <v>95</v>
      </c>
      <c r="I390" s="86">
        <f t="shared" si="118"/>
        <v>32</v>
      </c>
      <c r="J390" s="87">
        <f t="shared" si="119"/>
        <v>33.6842105263158</v>
      </c>
      <c r="K390" s="88">
        <v>265</v>
      </c>
      <c r="L390" s="88">
        <f t="shared" si="120"/>
        <v>243</v>
      </c>
      <c r="M390" s="87">
        <f t="shared" si="121"/>
        <v>1104.54545454545</v>
      </c>
      <c r="N390" s="100"/>
    </row>
    <row r="391" s="3" customFormat="1" spans="1:14">
      <c r="A391" s="83" t="s">
        <v>155</v>
      </c>
      <c r="B391" s="84">
        <v>2100799</v>
      </c>
      <c r="C391" s="85" t="s">
        <v>465</v>
      </c>
      <c r="D391" s="86">
        <f>112+8+5</f>
        <v>125</v>
      </c>
      <c r="E391" s="86">
        <f>112+8+5</f>
        <v>125</v>
      </c>
      <c r="F391" s="110"/>
      <c r="G391" s="87">
        <f t="shared" ref="G391:G454" si="140">IF(E391=0,,F391/E391*100)</f>
        <v>0</v>
      </c>
      <c r="H391" s="111">
        <v>2</v>
      </c>
      <c r="I391" s="86">
        <f t="shared" ref="I391:I454" si="141">F391-H391</f>
        <v>-2</v>
      </c>
      <c r="J391" s="87">
        <f t="shared" ref="J391:J454" si="142">IF(H391=0,,I391/H391*100)</f>
        <v>-100</v>
      </c>
      <c r="K391" s="88">
        <f>98+3</f>
        <v>101</v>
      </c>
      <c r="L391" s="88">
        <f t="shared" ref="L391:L454" si="143">K391-D391</f>
        <v>-24</v>
      </c>
      <c r="M391" s="87">
        <f t="shared" ref="M391:M454" si="144">IF(D391=0,,L391/D391*100)</f>
        <v>-19.2</v>
      </c>
      <c r="N391" s="100"/>
    </row>
    <row r="392" s="3" customFormat="1" spans="1:14">
      <c r="A392" s="83" t="s">
        <v>153</v>
      </c>
      <c r="B392" s="84">
        <v>21011</v>
      </c>
      <c r="C392" s="85" t="s">
        <v>466</v>
      </c>
      <c r="D392" s="86">
        <f t="shared" ref="D392:F392" si="145">SUM(D393:D396)</f>
        <v>1400</v>
      </c>
      <c r="E392" s="86">
        <f t="shared" si="145"/>
        <v>966</v>
      </c>
      <c r="F392" s="92">
        <f t="shared" si="145"/>
        <v>974</v>
      </c>
      <c r="G392" s="87">
        <f t="shared" si="140"/>
        <v>100.828157349896</v>
      </c>
      <c r="H392" s="88">
        <f>SUM(H393:H396)</f>
        <v>1021</v>
      </c>
      <c r="I392" s="86">
        <f t="shared" si="141"/>
        <v>-47</v>
      </c>
      <c r="J392" s="87">
        <f t="shared" si="142"/>
        <v>-4.60333006856024</v>
      </c>
      <c r="K392" s="88">
        <f>SUM(K393:K396)</f>
        <v>2261</v>
      </c>
      <c r="L392" s="88">
        <f t="shared" si="143"/>
        <v>861</v>
      </c>
      <c r="M392" s="87">
        <f t="shared" si="144"/>
        <v>61.5</v>
      </c>
      <c r="N392" s="100"/>
    </row>
    <row r="393" s="3" customFormat="1" spans="1:14">
      <c r="A393" s="83" t="s">
        <v>155</v>
      </c>
      <c r="B393" s="84">
        <v>2101101</v>
      </c>
      <c r="C393" s="85" t="s">
        <v>467</v>
      </c>
      <c r="D393" s="86">
        <v>509</v>
      </c>
      <c r="E393" s="86">
        <v>260</v>
      </c>
      <c r="F393" s="110">
        <v>268</v>
      </c>
      <c r="G393" s="87">
        <f t="shared" si="140"/>
        <v>103.076923076923</v>
      </c>
      <c r="H393" s="111">
        <v>184</v>
      </c>
      <c r="I393" s="86">
        <f t="shared" si="141"/>
        <v>84</v>
      </c>
      <c r="J393" s="87">
        <f t="shared" si="142"/>
        <v>45.6521739130435</v>
      </c>
      <c r="K393" s="88">
        <f>200+431</f>
        <v>631</v>
      </c>
      <c r="L393" s="88">
        <f t="shared" si="143"/>
        <v>122</v>
      </c>
      <c r="M393" s="87">
        <f t="shared" si="144"/>
        <v>23.9685658153242</v>
      </c>
      <c r="N393" s="100"/>
    </row>
    <row r="394" s="3" customFormat="1" spans="1:14">
      <c r="A394" s="83" t="s">
        <v>155</v>
      </c>
      <c r="B394" s="84">
        <v>2101102</v>
      </c>
      <c r="C394" s="85" t="s">
        <v>468</v>
      </c>
      <c r="D394" s="86">
        <v>615</v>
      </c>
      <c r="E394" s="86">
        <v>600</v>
      </c>
      <c r="F394" s="110">
        <v>591</v>
      </c>
      <c r="G394" s="87">
        <f t="shared" si="140"/>
        <v>98.5</v>
      </c>
      <c r="H394" s="111">
        <v>528</v>
      </c>
      <c r="I394" s="86">
        <f t="shared" si="141"/>
        <v>63</v>
      </c>
      <c r="J394" s="87">
        <f t="shared" si="142"/>
        <v>11.9318181818182</v>
      </c>
      <c r="K394" s="88">
        <f>300+837</f>
        <v>1137</v>
      </c>
      <c r="L394" s="88">
        <f t="shared" si="143"/>
        <v>522</v>
      </c>
      <c r="M394" s="87">
        <f t="shared" si="144"/>
        <v>84.8780487804878</v>
      </c>
      <c r="N394" s="100"/>
    </row>
    <row r="395" s="3" customFormat="1" spans="1:14">
      <c r="A395" s="83" t="s">
        <v>155</v>
      </c>
      <c r="B395" s="84">
        <v>2101103</v>
      </c>
      <c r="C395" s="85" t="s">
        <v>469</v>
      </c>
      <c r="D395" s="86">
        <v>250</v>
      </c>
      <c r="E395" s="86">
        <v>80</v>
      </c>
      <c r="F395" s="110">
        <v>97</v>
      </c>
      <c r="G395" s="87">
        <f t="shared" si="140"/>
        <v>121.25</v>
      </c>
      <c r="H395" s="111">
        <v>60</v>
      </c>
      <c r="I395" s="86">
        <f t="shared" si="141"/>
        <v>37</v>
      </c>
      <c r="J395" s="87">
        <f t="shared" si="142"/>
        <v>61.6666666666667</v>
      </c>
      <c r="K395" s="88">
        <v>285</v>
      </c>
      <c r="L395" s="88">
        <f t="shared" si="143"/>
        <v>35</v>
      </c>
      <c r="M395" s="87">
        <f t="shared" si="144"/>
        <v>14</v>
      </c>
      <c r="N395" s="100"/>
    </row>
    <row r="396" s="3" customFormat="1" spans="1:14">
      <c r="A396" s="83" t="s">
        <v>155</v>
      </c>
      <c r="B396" s="84">
        <v>2101199</v>
      </c>
      <c r="C396" s="85" t="s">
        <v>470</v>
      </c>
      <c r="D396" s="86">
        <v>26</v>
      </c>
      <c r="E396" s="86">
        <v>26</v>
      </c>
      <c r="F396" s="110">
        <v>18</v>
      </c>
      <c r="G396" s="87">
        <f t="shared" si="140"/>
        <v>69.2307692307692</v>
      </c>
      <c r="H396" s="111">
        <v>249</v>
      </c>
      <c r="I396" s="86">
        <f t="shared" si="141"/>
        <v>-231</v>
      </c>
      <c r="J396" s="87">
        <f t="shared" si="142"/>
        <v>-92.7710843373494</v>
      </c>
      <c r="K396" s="88">
        <f>200+8</f>
        <v>208</v>
      </c>
      <c r="L396" s="88">
        <f t="shared" si="143"/>
        <v>182</v>
      </c>
      <c r="M396" s="87">
        <f t="shared" si="144"/>
        <v>700</v>
      </c>
      <c r="N396" s="100"/>
    </row>
    <row r="397" s="3" customFormat="1" spans="1:14">
      <c r="A397" s="83" t="s">
        <v>153</v>
      </c>
      <c r="B397" s="84">
        <v>21012</v>
      </c>
      <c r="C397" s="85" t="s">
        <v>471</v>
      </c>
      <c r="D397" s="86">
        <f t="shared" ref="D397:F397" si="146">SUM(D398:D400)</f>
        <v>16</v>
      </c>
      <c r="E397" s="86">
        <f t="shared" si="146"/>
        <v>190</v>
      </c>
      <c r="F397" s="92">
        <f t="shared" si="146"/>
        <v>224</v>
      </c>
      <c r="G397" s="87">
        <f t="shared" si="140"/>
        <v>117.894736842105</v>
      </c>
      <c r="H397" s="88">
        <f>SUM(H398:H400)</f>
        <v>0</v>
      </c>
      <c r="I397" s="86">
        <f t="shared" si="141"/>
        <v>224</v>
      </c>
      <c r="J397" s="87">
        <f t="shared" si="142"/>
        <v>0</v>
      </c>
      <c r="K397" s="88">
        <f>SUM(K398:K400)</f>
        <v>142</v>
      </c>
      <c r="L397" s="88">
        <f t="shared" si="143"/>
        <v>126</v>
      </c>
      <c r="M397" s="87">
        <f t="shared" si="144"/>
        <v>787.5</v>
      </c>
      <c r="N397" s="100"/>
    </row>
    <row r="398" s="3" customFormat="1" spans="1:14">
      <c r="A398" s="83" t="s">
        <v>155</v>
      </c>
      <c r="B398" s="84">
        <v>2101201</v>
      </c>
      <c r="C398" s="85" t="s">
        <v>472</v>
      </c>
      <c r="D398" s="86"/>
      <c r="E398" s="86">
        <v>60</v>
      </c>
      <c r="F398" s="19">
        <v>69</v>
      </c>
      <c r="G398" s="87">
        <f t="shared" si="140"/>
        <v>115</v>
      </c>
      <c r="H398" s="88"/>
      <c r="I398" s="86">
        <f t="shared" si="141"/>
        <v>69</v>
      </c>
      <c r="J398" s="87">
        <f t="shared" si="142"/>
        <v>0</v>
      </c>
      <c r="K398" s="88"/>
      <c r="L398" s="88">
        <f t="shared" si="143"/>
        <v>0</v>
      </c>
      <c r="M398" s="87">
        <f t="shared" si="144"/>
        <v>0</v>
      </c>
      <c r="N398" s="100"/>
    </row>
    <row r="399" s="3" customFormat="1" spans="1:14">
      <c r="A399" s="83" t="s">
        <v>155</v>
      </c>
      <c r="B399" s="84">
        <v>2101202</v>
      </c>
      <c r="C399" s="85" t="s">
        <v>473</v>
      </c>
      <c r="D399" s="86">
        <v>16</v>
      </c>
      <c r="E399" s="86">
        <v>130</v>
      </c>
      <c r="F399" s="19">
        <v>155</v>
      </c>
      <c r="G399" s="87">
        <f t="shared" si="140"/>
        <v>119.230769230769</v>
      </c>
      <c r="H399" s="88"/>
      <c r="I399" s="86">
        <f t="shared" si="141"/>
        <v>155</v>
      </c>
      <c r="J399" s="87">
        <f t="shared" si="142"/>
        <v>0</v>
      </c>
      <c r="K399" s="88">
        <v>142</v>
      </c>
      <c r="L399" s="88">
        <f t="shared" si="143"/>
        <v>126</v>
      </c>
      <c r="M399" s="87">
        <f t="shared" si="144"/>
        <v>787.5</v>
      </c>
      <c r="N399" s="100"/>
    </row>
    <row r="400" s="3" customFormat="1" spans="1:14">
      <c r="A400" s="83" t="s">
        <v>155</v>
      </c>
      <c r="B400" s="84">
        <v>2101299</v>
      </c>
      <c r="C400" s="85" t="s">
        <v>474</v>
      </c>
      <c r="D400" s="86"/>
      <c r="E400" s="86"/>
      <c r="F400" s="19"/>
      <c r="G400" s="87">
        <f t="shared" si="140"/>
        <v>0</v>
      </c>
      <c r="H400" s="88"/>
      <c r="I400" s="86">
        <f t="shared" si="141"/>
        <v>0</v>
      </c>
      <c r="J400" s="87">
        <f t="shared" si="142"/>
        <v>0</v>
      </c>
      <c r="K400" s="88"/>
      <c r="L400" s="88">
        <f t="shared" si="143"/>
        <v>0</v>
      </c>
      <c r="M400" s="87">
        <f t="shared" si="144"/>
        <v>0</v>
      </c>
      <c r="N400" s="100"/>
    </row>
    <row r="401" s="3" customFormat="1" spans="1:14">
      <c r="A401" s="83" t="s">
        <v>153</v>
      </c>
      <c r="B401" s="84">
        <v>21013</v>
      </c>
      <c r="C401" s="85" t="s">
        <v>475</v>
      </c>
      <c r="D401" s="86">
        <f t="shared" ref="D401:F401" si="147">SUM(D402:D403)</f>
        <v>146</v>
      </c>
      <c r="E401" s="86">
        <f t="shared" si="147"/>
        <v>200</v>
      </c>
      <c r="F401" s="19">
        <f t="shared" si="147"/>
        <v>296</v>
      </c>
      <c r="G401" s="87">
        <f t="shared" si="140"/>
        <v>148</v>
      </c>
      <c r="H401" s="88">
        <f>SUM(H402:H402)</f>
        <v>565</v>
      </c>
      <c r="I401" s="86">
        <f t="shared" si="141"/>
        <v>-269</v>
      </c>
      <c r="J401" s="87">
        <f t="shared" si="142"/>
        <v>-47.6106194690266</v>
      </c>
      <c r="K401" s="88">
        <f>SUM(K402:K402)</f>
        <v>0</v>
      </c>
      <c r="L401" s="88">
        <f t="shared" si="143"/>
        <v>-146</v>
      </c>
      <c r="M401" s="87">
        <f t="shared" si="144"/>
        <v>-100</v>
      </c>
      <c r="N401" s="100"/>
    </row>
    <row r="402" s="3" customFormat="1" spans="1:14">
      <c r="A402" s="83" t="s">
        <v>155</v>
      </c>
      <c r="B402" s="84">
        <v>2101301</v>
      </c>
      <c r="C402" s="85" t="s">
        <v>476</v>
      </c>
      <c r="D402" s="86">
        <v>146</v>
      </c>
      <c r="E402" s="86">
        <v>200</v>
      </c>
      <c r="F402" s="110">
        <v>265</v>
      </c>
      <c r="G402" s="87">
        <f t="shared" si="140"/>
        <v>132.5</v>
      </c>
      <c r="H402" s="111">
        <v>565</v>
      </c>
      <c r="I402" s="86">
        <f t="shared" si="141"/>
        <v>-300</v>
      </c>
      <c r="J402" s="87">
        <f t="shared" si="142"/>
        <v>-53.0973451327434</v>
      </c>
      <c r="K402" s="88"/>
      <c r="L402" s="88">
        <f t="shared" si="143"/>
        <v>-146</v>
      </c>
      <c r="M402" s="87">
        <f t="shared" si="144"/>
        <v>-100</v>
      </c>
      <c r="N402" s="100"/>
    </row>
    <row r="403" s="3" customFormat="1" spans="1:14">
      <c r="A403" s="83" t="s">
        <v>155</v>
      </c>
      <c r="B403" s="84">
        <v>2101399</v>
      </c>
      <c r="C403" s="85" t="s">
        <v>477</v>
      </c>
      <c r="D403" s="86"/>
      <c r="E403" s="86"/>
      <c r="F403" s="110">
        <v>31</v>
      </c>
      <c r="G403" s="87">
        <f t="shared" si="140"/>
        <v>0</v>
      </c>
      <c r="H403" s="111"/>
      <c r="I403" s="86">
        <f t="shared" si="141"/>
        <v>31</v>
      </c>
      <c r="J403" s="87">
        <f t="shared" si="142"/>
        <v>0</v>
      </c>
      <c r="K403" s="88"/>
      <c r="L403" s="88">
        <f t="shared" si="143"/>
        <v>0</v>
      </c>
      <c r="M403" s="87">
        <f t="shared" si="144"/>
        <v>0</v>
      </c>
      <c r="N403" s="100"/>
    </row>
    <row r="404" s="3" customFormat="1" spans="1:14">
      <c r="A404" s="83" t="s">
        <v>153</v>
      </c>
      <c r="B404" s="84">
        <v>21014</v>
      </c>
      <c r="C404" s="85" t="s">
        <v>478</v>
      </c>
      <c r="D404" s="86">
        <f t="shared" ref="D404:F404" si="148">SUM(D405:D406)</f>
        <v>7</v>
      </c>
      <c r="E404" s="86">
        <f t="shared" si="148"/>
        <v>7</v>
      </c>
      <c r="F404" s="92">
        <f t="shared" si="148"/>
        <v>13</v>
      </c>
      <c r="G404" s="87">
        <f t="shared" si="140"/>
        <v>185.714285714286</v>
      </c>
      <c r="H404" s="88">
        <f>SUM(H405:H406)</f>
        <v>12</v>
      </c>
      <c r="I404" s="86">
        <f t="shared" si="141"/>
        <v>1</v>
      </c>
      <c r="J404" s="87">
        <f t="shared" si="142"/>
        <v>8.33333333333333</v>
      </c>
      <c r="K404" s="88">
        <f>SUM(K405:K406)</f>
        <v>8</v>
      </c>
      <c r="L404" s="88">
        <f t="shared" si="143"/>
        <v>1</v>
      </c>
      <c r="M404" s="87">
        <f t="shared" si="144"/>
        <v>14.2857142857143</v>
      </c>
      <c r="N404" s="100"/>
    </row>
    <row r="405" s="3" customFormat="1" spans="1:14">
      <c r="A405" s="83" t="s">
        <v>155</v>
      </c>
      <c r="B405" s="84">
        <v>2101401</v>
      </c>
      <c r="C405" s="85" t="s">
        <v>479</v>
      </c>
      <c r="D405" s="86">
        <v>7</v>
      </c>
      <c r="E405" s="86">
        <v>7</v>
      </c>
      <c r="F405" s="110">
        <v>13</v>
      </c>
      <c r="G405" s="87">
        <f t="shared" si="140"/>
        <v>185.714285714286</v>
      </c>
      <c r="H405" s="111">
        <v>12</v>
      </c>
      <c r="I405" s="86">
        <f t="shared" si="141"/>
        <v>1</v>
      </c>
      <c r="J405" s="87">
        <f t="shared" si="142"/>
        <v>8.33333333333333</v>
      </c>
      <c r="K405" s="88">
        <v>8</v>
      </c>
      <c r="L405" s="88">
        <f t="shared" si="143"/>
        <v>1</v>
      </c>
      <c r="M405" s="87">
        <f t="shared" si="144"/>
        <v>14.2857142857143</v>
      </c>
      <c r="N405" s="100"/>
    </row>
    <row r="406" s="3" customFormat="1" spans="1:14">
      <c r="A406" s="83" t="s">
        <v>155</v>
      </c>
      <c r="B406" s="84">
        <v>2101499</v>
      </c>
      <c r="C406" s="85" t="s">
        <v>480</v>
      </c>
      <c r="D406" s="86"/>
      <c r="E406" s="86"/>
      <c r="F406" s="19"/>
      <c r="G406" s="87">
        <f t="shared" si="140"/>
        <v>0</v>
      </c>
      <c r="H406" s="88"/>
      <c r="I406" s="86">
        <f t="shared" si="141"/>
        <v>0</v>
      </c>
      <c r="J406" s="87">
        <f t="shared" si="142"/>
        <v>0</v>
      </c>
      <c r="K406" s="88"/>
      <c r="L406" s="88">
        <f t="shared" si="143"/>
        <v>0</v>
      </c>
      <c r="M406" s="87">
        <f t="shared" si="144"/>
        <v>0</v>
      </c>
      <c r="N406" s="100"/>
    </row>
    <row r="407" s="3" customFormat="1" spans="1:14">
      <c r="A407" s="83" t="s">
        <v>153</v>
      </c>
      <c r="B407" s="84">
        <v>21015</v>
      </c>
      <c r="C407" s="85" t="s">
        <v>481</v>
      </c>
      <c r="D407" s="86">
        <f t="shared" ref="D407:F407" si="149">SUM(D408:D408)</f>
        <v>0</v>
      </c>
      <c r="E407" s="86">
        <f t="shared" si="149"/>
        <v>0</v>
      </c>
      <c r="F407" s="92">
        <f t="shared" si="149"/>
        <v>0</v>
      </c>
      <c r="G407" s="87">
        <f t="shared" si="140"/>
        <v>0</v>
      </c>
      <c r="H407" s="88">
        <f>SUM(H408:H408)</f>
        <v>8</v>
      </c>
      <c r="I407" s="86">
        <f t="shared" si="141"/>
        <v>-8</v>
      </c>
      <c r="J407" s="87">
        <f t="shared" si="142"/>
        <v>-100</v>
      </c>
      <c r="K407" s="88">
        <f>SUM(K408:K408)</f>
        <v>0</v>
      </c>
      <c r="L407" s="88">
        <f t="shared" si="143"/>
        <v>0</v>
      </c>
      <c r="M407" s="87">
        <f t="shared" si="144"/>
        <v>0</v>
      </c>
      <c r="N407" s="100"/>
    </row>
    <row r="408" s="3" customFormat="1" spans="1:14">
      <c r="A408" s="83" t="s">
        <v>155</v>
      </c>
      <c r="B408" s="84">
        <v>2101599</v>
      </c>
      <c r="C408" s="85" t="s">
        <v>482</v>
      </c>
      <c r="D408" s="86"/>
      <c r="E408" s="86"/>
      <c r="F408" s="19"/>
      <c r="G408" s="87">
        <f t="shared" si="140"/>
        <v>0</v>
      </c>
      <c r="H408" s="88">
        <v>8</v>
      </c>
      <c r="I408" s="86">
        <f t="shared" si="141"/>
        <v>-8</v>
      </c>
      <c r="J408" s="87">
        <f t="shared" si="142"/>
        <v>-100</v>
      </c>
      <c r="K408" s="88"/>
      <c r="L408" s="88">
        <f t="shared" si="143"/>
        <v>0</v>
      </c>
      <c r="M408" s="87">
        <f t="shared" si="144"/>
        <v>0</v>
      </c>
      <c r="N408" s="100"/>
    </row>
    <row r="409" s="3" customFormat="1" spans="1:14">
      <c r="A409" s="83" t="s">
        <v>153</v>
      </c>
      <c r="B409" s="84">
        <v>21016</v>
      </c>
      <c r="C409" s="85" t="s">
        <v>483</v>
      </c>
      <c r="D409" s="86">
        <f t="shared" ref="D409:F409" si="150">SUM(D410)</f>
        <v>0</v>
      </c>
      <c r="E409" s="86">
        <f t="shared" si="150"/>
        <v>0</v>
      </c>
      <c r="F409" s="92">
        <f t="shared" si="150"/>
        <v>0</v>
      </c>
      <c r="G409" s="87">
        <f t="shared" si="140"/>
        <v>0</v>
      </c>
      <c r="H409" s="88">
        <f>SUM(H410)</f>
        <v>0</v>
      </c>
      <c r="I409" s="86">
        <f t="shared" si="141"/>
        <v>0</v>
      </c>
      <c r="J409" s="87">
        <f t="shared" si="142"/>
        <v>0</v>
      </c>
      <c r="K409" s="88">
        <f>SUM(K410)</f>
        <v>0</v>
      </c>
      <c r="L409" s="88">
        <f t="shared" si="143"/>
        <v>0</v>
      </c>
      <c r="M409" s="87">
        <f t="shared" si="144"/>
        <v>0</v>
      </c>
      <c r="N409" s="100"/>
    </row>
    <row r="410" s="3" customFormat="1" hidden="1" spans="1:14">
      <c r="A410" s="83" t="s">
        <v>155</v>
      </c>
      <c r="B410" s="84">
        <v>2101601</v>
      </c>
      <c r="C410" s="85" t="s">
        <v>484</v>
      </c>
      <c r="D410" s="86"/>
      <c r="E410" s="86"/>
      <c r="F410" s="110"/>
      <c r="G410" s="87">
        <f t="shared" si="140"/>
        <v>0</v>
      </c>
      <c r="H410" s="111"/>
      <c r="I410" s="86">
        <f t="shared" si="141"/>
        <v>0</v>
      </c>
      <c r="J410" s="87">
        <f t="shared" si="142"/>
        <v>0</v>
      </c>
      <c r="K410" s="88"/>
      <c r="L410" s="88">
        <f t="shared" si="143"/>
        <v>0</v>
      </c>
      <c r="M410" s="87">
        <f t="shared" si="144"/>
        <v>0</v>
      </c>
      <c r="N410" s="100"/>
    </row>
    <row r="411" s="3" customFormat="1" spans="1:14">
      <c r="A411" s="83" t="s">
        <v>153</v>
      </c>
      <c r="B411" s="84">
        <v>21099</v>
      </c>
      <c r="C411" s="116" t="s">
        <v>485</v>
      </c>
      <c r="D411" s="86">
        <f t="shared" ref="D411:F411" si="151">SUM(D412)</f>
        <v>15</v>
      </c>
      <c r="E411" s="86">
        <f t="shared" si="151"/>
        <v>40</v>
      </c>
      <c r="F411" s="92">
        <f t="shared" si="151"/>
        <v>42</v>
      </c>
      <c r="G411" s="87">
        <f t="shared" si="140"/>
        <v>105</v>
      </c>
      <c r="H411" s="88">
        <f>SUM(H412)</f>
        <v>212</v>
      </c>
      <c r="I411" s="86">
        <f t="shared" si="141"/>
        <v>-170</v>
      </c>
      <c r="J411" s="87">
        <f t="shared" si="142"/>
        <v>-80.188679245283</v>
      </c>
      <c r="K411" s="88">
        <f>SUM(K412)</f>
        <v>146</v>
      </c>
      <c r="L411" s="88">
        <f t="shared" si="143"/>
        <v>131</v>
      </c>
      <c r="M411" s="87">
        <f t="shared" si="144"/>
        <v>873.333333333333</v>
      </c>
      <c r="N411" s="100"/>
    </row>
    <row r="412" s="3" customFormat="1" spans="1:14">
      <c r="A412" s="83" t="s">
        <v>155</v>
      </c>
      <c r="B412" s="84">
        <v>2109999</v>
      </c>
      <c r="C412" s="116" t="s">
        <v>486</v>
      </c>
      <c r="D412" s="86">
        <v>15</v>
      </c>
      <c r="E412" s="86">
        <v>40</v>
      </c>
      <c r="F412" s="110">
        <v>42</v>
      </c>
      <c r="G412" s="87">
        <f t="shared" si="140"/>
        <v>105</v>
      </c>
      <c r="H412" s="111">
        <v>212</v>
      </c>
      <c r="I412" s="86">
        <f t="shared" si="141"/>
        <v>-170</v>
      </c>
      <c r="J412" s="87">
        <f t="shared" si="142"/>
        <v>-80.188679245283</v>
      </c>
      <c r="K412" s="88">
        <v>146</v>
      </c>
      <c r="L412" s="88">
        <f t="shared" si="143"/>
        <v>131</v>
      </c>
      <c r="M412" s="87">
        <f t="shared" si="144"/>
        <v>873.333333333333</v>
      </c>
      <c r="N412" s="100"/>
    </row>
    <row r="413" s="3" customFormat="1" spans="1:14">
      <c r="A413" s="83" t="s">
        <v>151</v>
      </c>
      <c r="B413" s="84">
        <v>211</v>
      </c>
      <c r="C413" s="116" t="s">
        <v>487</v>
      </c>
      <c r="D413" s="86">
        <f t="shared" ref="D413:F413" si="152">SUM(D414,D418,D420,D423,D427,D429,D431,D433,D435,D436,D437,D439,D440,D441,D443)</f>
        <v>3541</v>
      </c>
      <c r="E413" s="86">
        <f t="shared" si="152"/>
        <v>3541</v>
      </c>
      <c r="F413" s="86">
        <f t="shared" si="152"/>
        <v>978</v>
      </c>
      <c r="G413" s="87">
        <f t="shared" si="140"/>
        <v>27.6193165772381</v>
      </c>
      <c r="H413" s="88">
        <f>SUM(H414,H418,H420,H423,H427,H429,H431,H433,H435,H436,H437,H439,H440,H441,H443)</f>
        <v>2671</v>
      </c>
      <c r="I413" s="86">
        <f t="shared" si="141"/>
        <v>-1693</v>
      </c>
      <c r="J413" s="87">
        <f t="shared" si="142"/>
        <v>-63.3845001871958</v>
      </c>
      <c r="K413" s="88">
        <f>SUM(K414,K418,K420,K423,K427,K429,K431,K433,K435,K436,K437,K439,K440,K441,K443)</f>
        <v>567</v>
      </c>
      <c r="L413" s="88">
        <f t="shared" si="143"/>
        <v>-2974</v>
      </c>
      <c r="M413" s="87">
        <f t="shared" si="144"/>
        <v>-83.9875741316012</v>
      </c>
      <c r="N413" s="100"/>
    </row>
    <row r="414" s="3" customFormat="1" spans="1:14">
      <c r="A414" s="83" t="s">
        <v>153</v>
      </c>
      <c r="B414" s="84">
        <v>21101</v>
      </c>
      <c r="C414" s="116" t="s">
        <v>488</v>
      </c>
      <c r="D414" s="86">
        <f t="shared" ref="D414:F414" si="153">SUM(D415:D417)</f>
        <v>4</v>
      </c>
      <c r="E414" s="86">
        <f t="shared" si="153"/>
        <v>31</v>
      </c>
      <c r="F414" s="92">
        <f t="shared" si="153"/>
        <v>31</v>
      </c>
      <c r="G414" s="87">
        <f t="shared" si="140"/>
        <v>100</v>
      </c>
      <c r="H414" s="88">
        <f>SUM(H415:H417)</f>
        <v>21</v>
      </c>
      <c r="I414" s="86">
        <f t="shared" si="141"/>
        <v>10</v>
      </c>
      <c r="J414" s="87">
        <f t="shared" si="142"/>
        <v>47.6190476190476</v>
      </c>
      <c r="K414" s="88">
        <f>SUM(K415:K417)</f>
        <v>2</v>
      </c>
      <c r="L414" s="88">
        <f t="shared" si="143"/>
        <v>-2</v>
      </c>
      <c r="M414" s="87">
        <f t="shared" si="144"/>
        <v>-50</v>
      </c>
      <c r="N414" s="100"/>
    </row>
    <row r="415" s="3" customFormat="1" spans="1:14">
      <c r="A415" s="83" t="s">
        <v>155</v>
      </c>
      <c r="B415" s="84">
        <v>2110101</v>
      </c>
      <c r="C415" s="116" t="s">
        <v>156</v>
      </c>
      <c r="D415" s="86">
        <v>4</v>
      </c>
      <c r="E415" s="86">
        <v>31</v>
      </c>
      <c r="F415" s="110">
        <v>31</v>
      </c>
      <c r="G415" s="87">
        <f t="shared" si="140"/>
        <v>100</v>
      </c>
      <c r="H415" s="111">
        <v>11</v>
      </c>
      <c r="I415" s="86">
        <f t="shared" si="141"/>
        <v>20</v>
      </c>
      <c r="J415" s="87">
        <f t="shared" si="142"/>
        <v>181.818181818182</v>
      </c>
      <c r="K415" s="88"/>
      <c r="L415" s="88">
        <f t="shared" si="143"/>
        <v>-4</v>
      </c>
      <c r="M415" s="87">
        <f t="shared" si="144"/>
        <v>-100</v>
      </c>
      <c r="N415" s="100"/>
    </row>
    <row r="416" s="3" customFormat="1" hidden="1" spans="1:14">
      <c r="A416" s="83" t="s">
        <v>155</v>
      </c>
      <c r="B416" s="84">
        <v>2110102</v>
      </c>
      <c r="C416" s="116" t="s">
        <v>157</v>
      </c>
      <c r="D416" s="86"/>
      <c r="E416" s="86"/>
      <c r="F416" s="110"/>
      <c r="G416" s="87">
        <f t="shared" si="140"/>
        <v>0</v>
      </c>
      <c r="H416" s="111"/>
      <c r="I416" s="86">
        <f t="shared" si="141"/>
        <v>0</v>
      </c>
      <c r="J416" s="87">
        <f t="shared" si="142"/>
        <v>0</v>
      </c>
      <c r="K416" s="88"/>
      <c r="L416" s="88">
        <f t="shared" si="143"/>
        <v>0</v>
      </c>
      <c r="M416" s="87">
        <f t="shared" si="144"/>
        <v>0</v>
      </c>
      <c r="N416" s="100"/>
    </row>
    <row r="417" s="3" customFormat="1" spans="1:14">
      <c r="A417" s="83" t="s">
        <v>155</v>
      </c>
      <c r="B417" s="84">
        <v>2110199</v>
      </c>
      <c r="C417" s="116" t="s">
        <v>489</v>
      </c>
      <c r="D417" s="86"/>
      <c r="E417" s="86"/>
      <c r="F417" s="117"/>
      <c r="G417" s="87">
        <f t="shared" si="140"/>
        <v>0</v>
      </c>
      <c r="H417" s="118">
        <v>10</v>
      </c>
      <c r="I417" s="86">
        <f t="shared" si="141"/>
        <v>-10</v>
      </c>
      <c r="J417" s="87">
        <f t="shared" si="142"/>
        <v>-100</v>
      </c>
      <c r="K417" s="88">
        <v>2</v>
      </c>
      <c r="L417" s="88">
        <f t="shared" si="143"/>
        <v>2</v>
      </c>
      <c r="M417" s="87">
        <f t="shared" si="144"/>
        <v>0</v>
      </c>
      <c r="N417" s="100"/>
    </row>
    <row r="418" s="3" customFormat="1" spans="1:14">
      <c r="A418" s="83" t="s">
        <v>153</v>
      </c>
      <c r="B418" s="84">
        <v>21102</v>
      </c>
      <c r="C418" s="116" t="s">
        <v>490</v>
      </c>
      <c r="D418" s="86">
        <f t="shared" ref="D418:F418" si="154">SUM(D419:D419)</f>
        <v>0</v>
      </c>
      <c r="E418" s="86">
        <f t="shared" si="154"/>
        <v>0</v>
      </c>
      <c r="F418" s="92">
        <f t="shared" si="154"/>
        <v>0</v>
      </c>
      <c r="G418" s="87">
        <f t="shared" si="140"/>
        <v>0</v>
      </c>
      <c r="H418" s="88">
        <f>SUM(H419:H419)</f>
        <v>0</v>
      </c>
      <c r="I418" s="86">
        <f t="shared" si="141"/>
        <v>0</v>
      </c>
      <c r="J418" s="87">
        <f t="shared" si="142"/>
        <v>0</v>
      </c>
      <c r="K418" s="88">
        <f>SUM(K419:K419)</f>
        <v>0</v>
      </c>
      <c r="L418" s="88">
        <f t="shared" si="143"/>
        <v>0</v>
      </c>
      <c r="M418" s="87">
        <f t="shared" si="144"/>
        <v>0</v>
      </c>
      <c r="N418" s="100"/>
    </row>
    <row r="419" s="3" customFormat="1" hidden="1" spans="1:14">
      <c r="A419" s="83" t="s">
        <v>155</v>
      </c>
      <c r="B419" s="84">
        <v>2110299</v>
      </c>
      <c r="C419" s="116" t="s">
        <v>491</v>
      </c>
      <c r="D419" s="86"/>
      <c r="E419" s="86"/>
      <c r="F419" s="19"/>
      <c r="G419" s="87">
        <f t="shared" si="140"/>
        <v>0</v>
      </c>
      <c r="H419" s="88"/>
      <c r="I419" s="86">
        <f t="shared" si="141"/>
        <v>0</v>
      </c>
      <c r="J419" s="87">
        <f t="shared" si="142"/>
        <v>0</v>
      </c>
      <c r="K419" s="88"/>
      <c r="L419" s="88">
        <f t="shared" si="143"/>
        <v>0</v>
      </c>
      <c r="M419" s="87">
        <f t="shared" si="144"/>
        <v>0</v>
      </c>
      <c r="N419" s="100"/>
    </row>
    <row r="420" s="3" customFormat="1" spans="1:14">
      <c r="A420" s="83" t="s">
        <v>153</v>
      </c>
      <c r="B420" s="84">
        <v>21103</v>
      </c>
      <c r="C420" s="116" t="s">
        <v>492</v>
      </c>
      <c r="D420" s="86">
        <f t="shared" ref="D420:F420" si="155">SUM(D421:D422)</f>
        <v>3440</v>
      </c>
      <c r="E420" s="86">
        <f t="shared" si="155"/>
        <v>2950</v>
      </c>
      <c r="F420" s="92">
        <f t="shared" si="155"/>
        <v>465</v>
      </c>
      <c r="G420" s="87">
        <f t="shared" si="140"/>
        <v>15.7627118644068</v>
      </c>
      <c r="H420" s="88">
        <f>SUM(H421:H422)</f>
        <v>2628</v>
      </c>
      <c r="I420" s="86">
        <f t="shared" si="141"/>
        <v>-2163</v>
      </c>
      <c r="J420" s="87">
        <f t="shared" si="142"/>
        <v>-82.3059360730594</v>
      </c>
      <c r="K420" s="88">
        <f>SUM(K421:K422)</f>
        <v>495</v>
      </c>
      <c r="L420" s="88">
        <f t="shared" si="143"/>
        <v>-2945</v>
      </c>
      <c r="M420" s="87">
        <f t="shared" si="144"/>
        <v>-85.6104651162791</v>
      </c>
      <c r="N420" s="100"/>
    </row>
    <row r="421" s="3" customFormat="1" spans="1:14">
      <c r="A421" s="83" t="s">
        <v>155</v>
      </c>
      <c r="B421" s="84">
        <v>2110302</v>
      </c>
      <c r="C421" s="116" t="s">
        <v>493</v>
      </c>
      <c r="D421" s="86">
        <f>400+2</f>
        <v>402</v>
      </c>
      <c r="E421" s="86">
        <v>402</v>
      </c>
      <c r="F421" s="19">
        <v>9</v>
      </c>
      <c r="G421" s="87">
        <f t="shared" si="140"/>
        <v>2.23880597014925</v>
      </c>
      <c r="H421" s="88">
        <v>713</v>
      </c>
      <c r="I421" s="86">
        <f t="shared" si="141"/>
        <v>-704</v>
      </c>
      <c r="J421" s="87">
        <f t="shared" si="142"/>
        <v>-98.7377279102384</v>
      </c>
      <c r="K421" s="88"/>
      <c r="L421" s="88">
        <f t="shared" si="143"/>
        <v>-402</v>
      </c>
      <c r="M421" s="87">
        <f t="shared" si="144"/>
        <v>-100</v>
      </c>
      <c r="N421" s="100"/>
    </row>
    <row r="422" s="3" customFormat="1" spans="1:14">
      <c r="A422" s="83" t="s">
        <v>155</v>
      </c>
      <c r="B422" s="84">
        <v>2110399</v>
      </c>
      <c r="C422" s="116" t="s">
        <v>494</v>
      </c>
      <c r="D422" s="86">
        <f>3120-25+452-102+30-437</f>
        <v>3038</v>
      </c>
      <c r="E422" s="86">
        <f>3000-452</f>
        <v>2548</v>
      </c>
      <c r="F422" s="19">
        <v>456</v>
      </c>
      <c r="G422" s="87">
        <f t="shared" si="140"/>
        <v>17.8963893249608</v>
      </c>
      <c r="H422" s="88">
        <v>1915</v>
      </c>
      <c r="I422" s="86">
        <f t="shared" si="141"/>
        <v>-1459</v>
      </c>
      <c r="J422" s="87">
        <f t="shared" si="142"/>
        <v>-76.1879895561358</v>
      </c>
      <c r="K422" s="88">
        <f>623+172-300</f>
        <v>495</v>
      </c>
      <c r="L422" s="88">
        <f t="shared" si="143"/>
        <v>-2543</v>
      </c>
      <c r="M422" s="87">
        <f t="shared" si="144"/>
        <v>-83.7063857801185</v>
      </c>
      <c r="N422" s="100"/>
    </row>
    <row r="423" s="3" customFormat="1" spans="1:14">
      <c r="A423" s="83" t="s">
        <v>153</v>
      </c>
      <c r="B423" s="84">
        <v>21104</v>
      </c>
      <c r="C423" s="116" t="s">
        <v>495</v>
      </c>
      <c r="D423" s="86">
        <f t="shared" ref="D423:F423" si="156">SUM(D424:D426)</f>
        <v>27</v>
      </c>
      <c r="E423" s="86">
        <f t="shared" si="156"/>
        <v>480</v>
      </c>
      <c r="F423" s="92">
        <f t="shared" si="156"/>
        <v>473</v>
      </c>
      <c r="G423" s="87">
        <f t="shared" si="140"/>
        <v>98.5416666666667</v>
      </c>
      <c r="H423" s="88">
        <f>SUM(H424:H426)</f>
        <v>0</v>
      </c>
      <c r="I423" s="86">
        <f t="shared" si="141"/>
        <v>473</v>
      </c>
      <c r="J423" s="87">
        <f t="shared" si="142"/>
        <v>0</v>
      </c>
      <c r="K423" s="88">
        <f>SUM(K424:K426)</f>
        <v>0</v>
      </c>
      <c r="L423" s="88">
        <f t="shared" si="143"/>
        <v>-27</v>
      </c>
      <c r="M423" s="87">
        <f t="shared" si="144"/>
        <v>-100</v>
      </c>
      <c r="N423" s="100"/>
    </row>
    <row r="424" s="3" customFormat="1" spans="1:14">
      <c r="A424" s="83" t="s">
        <v>155</v>
      </c>
      <c r="B424" s="84">
        <v>2110401</v>
      </c>
      <c r="C424" s="116" t="s">
        <v>496</v>
      </c>
      <c r="D424" s="86">
        <v>27</v>
      </c>
      <c r="E424" s="86">
        <v>0</v>
      </c>
      <c r="F424" s="19"/>
      <c r="G424" s="87">
        <f t="shared" si="140"/>
        <v>0</v>
      </c>
      <c r="H424" s="88"/>
      <c r="I424" s="86">
        <f t="shared" si="141"/>
        <v>0</v>
      </c>
      <c r="J424" s="87">
        <f t="shared" si="142"/>
        <v>0</v>
      </c>
      <c r="K424" s="88"/>
      <c r="L424" s="88">
        <f t="shared" si="143"/>
        <v>-27</v>
      </c>
      <c r="M424" s="87">
        <f t="shared" si="144"/>
        <v>-100</v>
      </c>
      <c r="N424" s="100"/>
    </row>
    <row r="425" s="3" customFormat="1" spans="1:14">
      <c r="A425" s="83" t="s">
        <v>155</v>
      </c>
      <c r="B425" s="84">
        <v>2110402</v>
      </c>
      <c r="C425" s="116" t="s">
        <v>497</v>
      </c>
      <c r="D425" s="86"/>
      <c r="E425" s="86">
        <v>480</v>
      </c>
      <c r="F425" s="110">
        <v>473</v>
      </c>
      <c r="G425" s="87">
        <f t="shared" si="140"/>
        <v>98.5416666666667</v>
      </c>
      <c r="H425" s="111"/>
      <c r="I425" s="86">
        <f t="shared" si="141"/>
        <v>473</v>
      </c>
      <c r="J425" s="87">
        <f t="shared" si="142"/>
        <v>0</v>
      </c>
      <c r="K425" s="88"/>
      <c r="L425" s="88">
        <f t="shared" si="143"/>
        <v>0</v>
      </c>
      <c r="M425" s="87">
        <f t="shared" si="144"/>
        <v>0</v>
      </c>
      <c r="N425" s="100"/>
    </row>
    <row r="426" s="3" customFormat="1" spans="1:14">
      <c r="A426" s="83" t="s">
        <v>155</v>
      </c>
      <c r="B426" s="84">
        <v>2110499</v>
      </c>
      <c r="C426" s="116" t="s">
        <v>498</v>
      </c>
      <c r="D426" s="86"/>
      <c r="E426" s="86"/>
      <c r="F426" s="19"/>
      <c r="G426" s="87">
        <f t="shared" si="140"/>
        <v>0</v>
      </c>
      <c r="H426" s="88"/>
      <c r="I426" s="86">
        <f t="shared" si="141"/>
        <v>0</v>
      </c>
      <c r="J426" s="87">
        <f t="shared" si="142"/>
        <v>0</v>
      </c>
      <c r="K426" s="88"/>
      <c r="L426" s="88">
        <f t="shared" si="143"/>
        <v>0</v>
      </c>
      <c r="M426" s="87">
        <f t="shared" si="144"/>
        <v>0</v>
      </c>
      <c r="N426" s="100"/>
    </row>
    <row r="427" s="3" customFormat="1" spans="1:14">
      <c r="A427" s="83" t="s">
        <v>153</v>
      </c>
      <c r="B427" s="84">
        <v>21105</v>
      </c>
      <c r="C427" s="116" t="s">
        <v>499</v>
      </c>
      <c r="D427" s="86">
        <f t="shared" ref="D427:F427" si="157">SUM(D428:D428)</f>
        <v>0</v>
      </c>
      <c r="E427" s="86">
        <f t="shared" si="157"/>
        <v>0</v>
      </c>
      <c r="F427" s="92">
        <f t="shared" si="157"/>
        <v>0</v>
      </c>
      <c r="G427" s="87">
        <f t="shared" si="140"/>
        <v>0</v>
      </c>
      <c r="H427" s="88">
        <f t="shared" ref="H427:H431" si="158">SUM(H428:H428)</f>
        <v>0</v>
      </c>
      <c r="I427" s="86">
        <f t="shared" si="141"/>
        <v>0</v>
      </c>
      <c r="J427" s="87">
        <f t="shared" si="142"/>
        <v>0</v>
      </c>
      <c r="K427" s="88">
        <f t="shared" ref="K427:K431" si="159">SUM(K428:K428)</f>
        <v>0</v>
      </c>
      <c r="L427" s="88">
        <f t="shared" si="143"/>
        <v>0</v>
      </c>
      <c r="M427" s="87">
        <f t="shared" si="144"/>
        <v>0</v>
      </c>
      <c r="N427" s="100"/>
    </row>
    <row r="428" s="3" customFormat="1" hidden="1" spans="1:14">
      <c r="A428" s="83" t="s">
        <v>155</v>
      </c>
      <c r="B428" s="84">
        <v>2110599</v>
      </c>
      <c r="C428" s="116" t="s">
        <v>500</v>
      </c>
      <c r="D428" s="86"/>
      <c r="E428" s="86"/>
      <c r="F428" s="19"/>
      <c r="G428" s="87">
        <f t="shared" si="140"/>
        <v>0</v>
      </c>
      <c r="H428" s="88"/>
      <c r="I428" s="86">
        <f t="shared" si="141"/>
        <v>0</v>
      </c>
      <c r="J428" s="87">
        <f t="shared" si="142"/>
        <v>0</v>
      </c>
      <c r="K428" s="88"/>
      <c r="L428" s="88">
        <f t="shared" si="143"/>
        <v>0</v>
      </c>
      <c r="M428" s="87">
        <f t="shared" si="144"/>
        <v>0</v>
      </c>
      <c r="N428" s="100"/>
    </row>
    <row r="429" s="3" customFormat="1" spans="1:14">
      <c r="A429" s="83" t="s">
        <v>153</v>
      </c>
      <c r="B429" s="84">
        <v>21106</v>
      </c>
      <c r="C429" s="116" t="s">
        <v>501</v>
      </c>
      <c r="D429" s="86">
        <f t="shared" ref="D429:F429" si="160">SUM(D430:D430)</f>
        <v>0</v>
      </c>
      <c r="E429" s="86">
        <f t="shared" si="160"/>
        <v>0</v>
      </c>
      <c r="F429" s="92">
        <f t="shared" si="160"/>
        <v>0</v>
      </c>
      <c r="G429" s="87">
        <f t="shared" si="140"/>
        <v>0</v>
      </c>
      <c r="H429" s="88">
        <f t="shared" si="158"/>
        <v>0</v>
      </c>
      <c r="I429" s="86">
        <f t="shared" si="141"/>
        <v>0</v>
      </c>
      <c r="J429" s="87">
        <f t="shared" si="142"/>
        <v>0</v>
      </c>
      <c r="K429" s="88">
        <f t="shared" si="159"/>
        <v>0</v>
      </c>
      <c r="L429" s="88">
        <f t="shared" si="143"/>
        <v>0</v>
      </c>
      <c r="M429" s="87">
        <f t="shared" si="144"/>
        <v>0</v>
      </c>
      <c r="N429" s="100"/>
    </row>
    <row r="430" s="3" customFormat="1" hidden="1" spans="1:14">
      <c r="A430" s="83" t="s">
        <v>155</v>
      </c>
      <c r="B430" s="84">
        <v>2110699</v>
      </c>
      <c r="C430" s="116" t="s">
        <v>502</v>
      </c>
      <c r="D430" s="86"/>
      <c r="E430" s="86"/>
      <c r="F430" s="19"/>
      <c r="G430" s="87">
        <f t="shared" si="140"/>
        <v>0</v>
      </c>
      <c r="H430" s="88"/>
      <c r="I430" s="86">
        <f t="shared" si="141"/>
        <v>0</v>
      </c>
      <c r="J430" s="87">
        <f t="shared" si="142"/>
        <v>0</v>
      </c>
      <c r="K430" s="88"/>
      <c r="L430" s="88">
        <f t="shared" si="143"/>
        <v>0</v>
      </c>
      <c r="M430" s="87">
        <f t="shared" si="144"/>
        <v>0</v>
      </c>
      <c r="N430" s="100"/>
    </row>
    <row r="431" s="3" customFormat="1" spans="1:14">
      <c r="A431" s="83" t="s">
        <v>153</v>
      </c>
      <c r="B431" s="84">
        <v>21107</v>
      </c>
      <c r="C431" s="116" t="s">
        <v>503</v>
      </c>
      <c r="D431" s="86">
        <f t="shared" ref="D431:F431" si="161">SUM(D432:D432)</f>
        <v>0</v>
      </c>
      <c r="E431" s="86">
        <f t="shared" si="161"/>
        <v>10</v>
      </c>
      <c r="F431" s="92">
        <f t="shared" si="161"/>
        <v>9</v>
      </c>
      <c r="G431" s="87">
        <f t="shared" si="140"/>
        <v>90</v>
      </c>
      <c r="H431" s="88">
        <f t="shared" si="158"/>
        <v>22</v>
      </c>
      <c r="I431" s="86">
        <f t="shared" si="141"/>
        <v>-13</v>
      </c>
      <c r="J431" s="87">
        <f t="shared" si="142"/>
        <v>-59.0909090909091</v>
      </c>
      <c r="K431" s="88">
        <f t="shared" si="159"/>
        <v>0</v>
      </c>
      <c r="L431" s="88">
        <f t="shared" si="143"/>
        <v>0</v>
      </c>
      <c r="M431" s="87">
        <f t="shared" si="144"/>
        <v>0</v>
      </c>
      <c r="N431" s="100"/>
    </row>
    <row r="432" s="3" customFormat="1" spans="1:14">
      <c r="A432" s="83" t="s">
        <v>155</v>
      </c>
      <c r="B432" s="84">
        <v>2110799</v>
      </c>
      <c r="C432" s="116" t="s">
        <v>504</v>
      </c>
      <c r="D432" s="86"/>
      <c r="E432" s="86">
        <v>10</v>
      </c>
      <c r="F432" s="19">
        <v>9</v>
      </c>
      <c r="G432" s="87">
        <f t="shared" si="140"/>
        <v>90</v>
      </c>
      <c r="H432" s="88">
        <v>22</v>
      </c>
      <c r="I432" s="86">
        <f t="shared" si="141"/>
        <v>-13</v>
      </c>
      <c r="J432" s="87">
        <f t="shared" si="142"/>
        <v>-59.0909090909091</v>
      </c>
      <c r="K432" s="88"/>
      <c r="L432" s="88">
        <f t="shared" si="143"/>
        <v>0</v>
      </c>
      <c r="M432" s="87">
        <f t="shared" si="144"/>
        <v>0</v>
      </c>
      <c r="N432" s="100"/>
    </row>
    <row r="433" s="3" customFormat="1" spans="1:14">
      <c r="A433" s="83" t="s">
        <v>153</v>
      </c>
      <c r="B433" s="84">
        <v>21108</v>
      </c>
      <c r="C433" s="116" t="s">
        <v>505</v>
      </c>
      <c r="D433" s="86">
        <f t="shared" ref="D433:F433" si="162">SUM(D434:D434)</f>
        <v>0</v>
      </c>
      <c r="E433" s="86">
        <f t="shared" si="162"/>
        <v>0</v>
      </c>
      <c r="F433" s="92">
        <f t="shared" si="162"/>
        <v>0</v>
      </c>
      <c r="G433" s="87">
        <f t="shared" si="140"/>
        <v>0</v>
      </c>
      <c r="H433" s="88">
        <f>SUM(H434:H434)</f>
        <v>0</v>
      </c>
      <c r="I433" s="86">
        <f t="shared" si="141"/>
        <v>0</v>
      </c>
      <c r="J433" s="87">
        <f t="shared" si="142"/>
        <v>0</v>
      </c>
      <c r="K433" s="88">
        <f>SUM(K434:K434)</f>
        <v>0</v>
      </c>
      <c r="L433" s="88">
        <f t="shared" si="143"/>
        <v>0</v>
      </c>
      <c r="M433" s="87">
        <f t="shared" si="144"/>
        <v>0</v>
      </c>
      <c r="N433" s="100"/>
    </row>
    <row r="434" s="3" customFormat="1" hidden="1" spans="1:14">
      <c r="A434" s="83" t="s">
        <v>155</v>
      </c>
      <c r="B434" s="84">
        <v>2110899</v>
      </c>
      <c r="C434" s="116" t="s">
        <v>506</v>
      </c>
      <c r="D434" s="86"/>
      <c r="E434" s="86"/>
      <c r="F434" s="19"/>
      <c r="G434" s="87">
        <f t="shared" si="140"/>
        <v>0</v>
      </c>
      <c r="H434" s="88"/>
      <c r="I434" s="86">
        <f t="shared" si="141"/>
        <v>0</v>
      </c>
      <c r="J434" s="87">
        <f t="shared" si="142"/>
        <v>0</v>
      </c>
      <c r="K434" s="88"/>
      <c r="L434" s="88">
        <f t="shared" si="143"/>
        <v>0</v>
      </c>
      <c r="M434" s="87">
        <f t="shared" si="144"/>
        <v>0</v>
      </c>
      <c r="N434" s="100"/>
    </row>
    <row r="435" s="3" customFormat="1" spans="1:14">
      <c r="A435" s="83" t="s">
        <v>153</v>
      </c>
      <c r="B435" s="84">
        <v>21109</v>
      </c>
      <c r="C435" s="116" t="s">
        <v>507</v>
      </c>
      <c r="D435" s="86"/>
      <c r="E435" s="86"/>
      <c r="F435" s="92"/>
      <c r="G435" s="87">
        <f t="shared" si="140"/>
        <v>0</v>
      </c>
      <c r="H435" s="88"/>
      <c r="I435" s="86">
        <f t="shared" si="141"/>
        <v>0</v>
      </c>
      <c r="J435" s="87">
        <f t="shared" si="142"/>
        <v>0</v>
      </c>
      <c r="K435" s="88"/>
      <c r="L435" s="88">
        <f t="shared" si="143"/>
        <v>0</v>
      </c>
      <c r="M435" s="87">
        <f t="shared" si="144"/>
        <v>0</v>
      </c>
      <c r="N435" s="100"/>
    </row>
    <row r="436" s="3" customFormat="1" spans="1:14">
      <c r="A436" s="83" t="s">
        <v>153</v>
      </c>
      <c r="B436" s="84">
        <v>21110</v>
      </c>
      <c r="C436" s="116" t="s">
        <v>508</v>
      </c>
      <c r="D436" s="86"/>
      <c r="E436" s="86"/>
      <c r="F436" s="92"/>
      <c r="G436" s="87">
        <f t="shared" si="140"/>
        <v>0</v>
      </c>
      <c r="H436" s="88"/>
      <c r="I436" s="86">
        <f t="shared" si="141"/>
        <v>0</v>
      </c>
      <c r="J436" s="87">
        <f t="shared" si="142"/>
        <v>0</v>
      </c>
      <c r="K436" s="88"/>
      <c r="L436" s="88">
        <f t="shared" si="143"/>
        <v>0</v>
      </c>
      <c r="M436" s="87">
        <f t="shared" si="144"/>
        <v>0</v>
      </c>
      <c r="N436" s="100"/>
    </row>
    <row r="437" s="3" customFormat="1" spans="1:14">
      <c r="A437" s="83" t="s">
        <v>153</v>
      </c>
      <c r="B437" s="84">
        <v>21111</v>
      </c>
      <c r="C437" s="116" t="s">
        <v>509</v>
      </c>
      <c r="D437" s="86">
        <f t="shared" ref="D437:F437" si="163">SUM(D438:D438)</f>
        <v>70</v>
      </c>
      <c r="E437" s="86">
        <f t="shared" si="163"/>
        <v>70</v>
      </c>
      <c r="F437" s="92">
        <f t="shared" si="163"/>
        <v>0</v>
      </c>
      <c r="G437" s="87">
        <f t="shared" si="140"/>
        <v>0</v>
      </c>
      <c r="H437" s="88">
        <f>SUM(H438:H438)</f>
        <v>0</v>
      </c>
      <c r="I437" s="86">
        <f t="shared" si="141"/>
        <v>0</v>
      </c>
      <c r="J437" s="87">
        <f t="shared" si="142"/>
        <v>0</v>
      </c>
      <c r="K437" s="88">
        <f>SUM(K438:K438)</f>
        <v>70</v>
      </c>
      <c r="L437" s="88">
        <f t="shared" si="143"/>
        <v>0</v>
      </c>
      <c r="M437" s="87">
        <f t="shared" si="144"/>
        <v>0</v>
      </c>
      <c r="N437" s="100"/>
    </row>
    <row r="438" s="3" customFormat="1" spans="1:14">
      <c r="A438" s="83" t="s">
        <v>155</v>
      </c>
      <c r="B438" s="84">
        <v>2111103</v>
      </c>
      <c r="C438" s="116" t="s">
        <v>510</v>
      </c>
      <c r="D438" s="86">
        <v>70</v>
      </c>
      <c r="E438" s="86">
        <v>70</v>
      </c>
      <c r="F438" s="19"/>
      <c r="G438" s="87">
        <f t="shared" si="140"/>
        <v>0</v>
      </c>
      <c r="H438" s="88"/>
      <c r="I438" s="86">
        <f t="shared" si="141"/>
        <v>0</v>
      </c>
      <c r="J438" s="87">
        <f t="shared" si="142"/>
        <v>0</v>
      </c>
      <c r="K438" s="88">
        <v>70</v>
      </c>
      <c r="L438" s="88">
        <f t="shared" si="143"/>
        <v>0</v>
      </c>
      <c r="M438" s="87">
        <f t="shared" si="144"/>
        <v>0</v>
      </c>
      <c r="N438" s="100"/>
    </row>
    <row r="439" s="3" customFormat="1" spans="1:14">
      <c r="A439" s="83" t="s">
        <v>153</v>
      </c>
      <c r="B439" s="84">
        <v>21112</v>
      </c>
      <c r="C439" s="116" t="s">
        <v>511</v>
      </c>
      <c r="D439" s="86"/>
      <c r="E439" s="86"/>
      <c r="F439" s="92"/>
      <c r="G439" s="87">
        <f t="shared" si="140"/>
        <v>0</v>
      </c>
      <c r="H439" s="88"/>
      <c r="I439" s="86">
        <f t="shared" si="141"/>
        <v>0</v>
      </c>
      <c r="J439" s="87">
        <f t="shared" si="142"/>
        <v>0</v>
      </c>
      <c r="K439" s="88"/>
      <c r="L439" s="88">
        <f t="shared" si="143"/>
        <v>0</v>
      </c>
      <c r="M439" s="87">
        <f t="shared" si="144"/>
        <v>0</v>
      </c>
      <c r="N439" s="100"/>
    </row>
    <row r="440" s="3" customFormat="1" spans="1:14">
      <c r="A440" s="83" t="s">
        <v>153</v>
      </c>
      <c r="B440" s="84">
        <v>21113</v>
      </c>
      <c r="C440" s="116" t="s">
        <v>512</v>
      </c>
      <c r="D440" s="86"/>
      <c r="E440" s="86"/>
      <c r="F440" s="92"/>
      <c r="G440" s="87">
        <f t="shared" si="140"/>
        <v>0</v>
      </c>
      <c r="H440" s="88"/>
      <c r="I440" s="86">
        <f t="shared" si="141"/>
        <v>0</v>
      </c>
      <c r="J440" s="87">
        <f t="shared" si="142"/>
        <v>0</v>
      </c>
      <c r="K440" s="88"/>
      <c r="L440" s="88">
        <f t="shared" si="143"/>
        <v>0</v>
      </c>
      <c r="M440" s="87">
        <f t="shared" si="144"/>
        <v>0</v>
      </c>
      <c r="N440" s="100"/>
    </row>
    <row r="441" s="3" customFormat="1" spans="1:14">
      <c r="A441" s="83" t="s">
        <v>153</v>
      </c>
      <c r="B441" s="84">
        <v>21114</v>
      </c>
      <c r="C441" s="116" t="s">
        <v>513</v>
      </c>
      <c r="D441" s="86">
        <f t="shared" ref="D441:F441" si="164">SUM(D442:D442)</f>
        <v>0</v>
      </c>
      <c r="E441" s="86">
        <f t="shared" si="164"/>
        <v>0</v>
      </c>
      <c r="F441" s="92">
        <f t="shared" si="164"/>
        <v>0</v>
      </c>
      <c r="G441" s="87">
        <f t="shared" si="140"/>
        <v>0</v>
      </c>
      <c r="H441" s="88">
        <f>SUM(H442:H442)</f>
        <v>0</v>
      </c>
      <c r="I441" s="86">
        <f t="shared" si="141"/>
        <v>0</v>
      </c>
      <c r="J441" s="87">
        <f t="shared" si="142"/>
        <v>0</v>
      </c>
      <c r="K441" s="88">
        <f>SUM(K442:K442)</f>
        <v>0</v>
      </c>
      <c r="L441" s="88">
        <f t="shared" si="143"/>
        <v>0</v>
      </c>
      <c r="M441" s="87">
        <f t="shared" si="144"/>
        <v>0</v>
      </c>
      <c r="N441" s="100"/>
    </row>
    <row r="442" s="3" customFormat="1" hidden="1" spans="1:14">
      <c r="A442" s="83" t="s">
        <v>155</v>
      </c>
      <c r="B442" s="84">
        <v>2111499</v>
      </c>
      <c r="C442" s="116" t="s">
        <v>514</v>
      </c>
      <c r="D442" s="86"/>
      <c r="E442" s="86"/>
      <c r="F442" s="19"/>
      <c r="G442" s="87">
        <f t="shared" si="140"/>
        <v>0</v>
      </c>
      <c r="H442" s="88"/>
      <c r="I442" s="86">
        <f t="shared" si="141"/>
        <v>0</v>
      </c>
      <c r="J442" s="87">
        <f t="shared" si="142"/>
        <v>0</v>
      </c>
      <c r="K442" s="88"/>
      <c r="L442" s="88">
        <f t="shared" si="143"/>
        <v>0</v>
      </c>
      <c r="M442" s="87">
        <f t="shared" si="144"/>
        <v>0</v>
      </c>
      <c r="N442" s="100"/>
    </row>
    <row r="443" s="3" customFormat="1" spans="1:14">
      <c r="A443" s="83" t="s">
        <v>153</v>
      </c>
      <c r="B443" s="84">
        <v>21199</v>
      </c>
      <c r="C443" s="116" t="s">
        <v>515</v>
      </c>
      <c r="D443" s="86"/>
      <c r="E443" s="86"/>
      <c r="F443" s="92"/>
      <c r="G443" s="87">
        <f t="shared" si="140"/>
        <v>0</v>
      </c>
      <c r="H443" s="88"/>
      <c r="I443" s="86">
        <f t="shared" si="141"/>
        <v>0</v>
      </c>
      <c r="J443" s="87">
        <f t="shared" si="142"/>
        <v>0</v>
      </c>
      <c r="K443" s="88"/>
      <c r="L443" s="88">
        <f t="shared" si="143"/>
        <v>0</v>
      </c>
      <c r="M443" s="87">
        <f t="shared" si="144"/>
        <v>0</v>
      </c>
      <c r="N443" s="100"/>
    </row>
    <row r="444" s="3" customFormat="1" hidden="1" spans="1:14">
      <c r="A444" s="83" t="s">
        <v>155</v>
      </c>
      <c r="B444" s="84">
        <v>2119999</v>
      </c>
      <c r="C444" s="116" t="s">
        <v>516</v>
      </c>
      <c r="D444" s="86"/>
      <c r="E444" s="86"/>
      <c r="F444" s="92"/>
      <c r="G444" s="87">
        <f t="shared" si="140"/>
        <v>0</v>
      </c>
      <c r="H444" s="88"/>
      <c r="I444" s="86">
        <f t="shared" si="141"/>
        <v>0</v>
      </c>
      <c r="J444" s="87">
        <f t="shared" si="142"/>
        <v>0</v>
      </c>
      <c r="K444" s="88"/>
      <c r="L444" s="88">
        <f t="shared" si="143"/>
        <v>0</v>
      </c>
      <c r="M444" s="87">
        <f t="shared" si="144"/>
        <v>0</v>
      </c>
      <c r="N444" s="100"/>
    </row>
    <row r="445" s="3" customFormat="1" spans="1:14">
      <c r="A445" s="83" t="s">
        <v>151</v>
      </c>
      <c r="B445" s="84">
        <v>212</v>
      </c>
      <c r="C445" s="116" t="s">
        <v>517</v>
      </c>
      <c r="D445" s="86">
        <f t="shared" ref="D445:F445" si="165">SUM(D446,D452,D454,D457,D459,D460)</f>
        <v>3890</v>
      </c>
      <c r="E445" s="86">
        <f t="shared" si="165"/>
        <v>3771</v>
      </c>
      <c r="F445" s="86">
        <f t="shared" si="165"/>
        <v>3113</v>
      </c>
      <c r="G445" s="87">
        <f t="shared" si="140"/>
        <v>82.5510474675152</v>
      </c>
      <c r="H445" s="88">
        <f>SUM(H446,H452,H454,H457,H459,H460)</f>
        <v>3647</v>
      </c>
      <c r="I445" s="86">
        <f t="shared" si="141"/>
        <v>-534</v>
      </c>
      <c r="J445" s="87">
        <f t="shared" si="142"/>
        <v>-14.6421716479298</v>
      </c>
      <c r="K445" s="88">
        <f>SUM(K446,K452,K454,K457,K459,K460)</f>
        <v>1475</v>
      </c>
      <c r="L445" s="88">
        <f t="shared" si="143"/>
        <v>-2415</v>
      </c>
      <c r="M445" s="87">
        <f t="shared" si="144"/>
        <v>-62.0822622107969</v>
      </c>
      <c r="N445" s="100"/>
    </row>
    <row r="446" s="3" customFormat="1" spans="1:14">
      <c r="A446" s="83" t="s">
        <v>153</v>
      </c>
      <c r="B446" s="84">
        <v>21201</v>
      </c>
      <c r="C446" s="116" t="s">
        <v>518</v>
      </c>
      <c r="D446" s="86">
        <f t="shared" ref="D446:F446" si="166">SUM(D447:D451)</f>
        <v>884</v>
      </c>
      <c r="E446" s="86">
        <f t="shared" si="166"/>
        <v>975</v>
      </c>
      <c r="F446" s="92">
        <f t="shared" si="166"/>
        <v>889</v>
      </c>
      <c r="G446" s="87">
        <f t="shared" si="140"/>
        <v>91.1794871794872</v>
      </c>
      <c r="H446" s="88">
        <f>SUM(H447:H451)</f>
        <v>1017</v>
      </c>
      <c r="I446" s="86">
        <f t="shared" si="141"/>
        <v>-128</v>
      </c>
      <c r="J446" s="87">
        <f t="shared" si="142"/>
        <v>-12.5860373647984</v>
      </c>
      <c r="K446" s="88">
        <f>SUM(K447:K451)</f>
        <v>849</v>
      </c>
      <c r="L446" s="88">
        <f t="shared" si="143"/>
        <v>-35</v>
      </c>
      <c r="M446" s="87">
        <f t="shared" si="144"/>
        <v>-3.95927601809955</v>
      </c>
      <c r="N446" s="100"/>
    </row>
    <row r="447" s="3" customFormat="1" spans="1:14">
      <c r="A447" s="83" t="s">
        <v>155</v>
      </c>
      <c r="B447" s="84">
        <v>2120101</v>
      </c>
      <c r="C447" s="116" t="s">
        <v>519</v>
      </c>
      <c r="D447" s="86">
        <v>764</v>
      </c>
      <c r="E447" s="86">
        <v>764</v>
      </c>
      <c r="F447" s="110">
        <v>678</v>
      </c>
      <c r="G447" s="87">
        <f t="shared" si="140"/>
        <v>88.7434554973822</v>
      </c>
      <c r="H447" s="111">
        <v>858</v>
      </c>
      <c r="I447" s="86">
        <f t="shared" si="141"/>
        <v>-180</v>
      </c>
      <c r="J447" s="87">
        <f t="shared" si="142"/>
        <v>-20.979020979021</v>
      </c>
      <c r="K447" s="88">
        <v>804</v>
      </c>
      <c r="L447" s="88">
        <f t="shared" si="143"/>
        <v>40</v>
      </c>
      <c r="M447" s="87">
        <f t="shared" si="144"/>
        <v>5.23560209424084</v>
      </c>
      <c r="N447" s="100"/>
    </row>
    <row r="448" s="3" customFormat="1" spans="1:14">
      <c r="A448" s="83" t="s">
        <v>155</v>
      </c>
      <c r="B448" s="84">
        <v>2120102</v>
      </c>
      <c r="C448" s="116" t="s">
        <v>520</v>
      </c>
      <c r="D448" s="86"/>
      <c r="E448" s="86">
        <v>30</v>
      </c>
      <c r="F448" s="110">
        <v>28</v>
      </c>
      <c r="G448" s="87">
        <f t="shared" si="140"/>
        <v>93.3333333333333</v>
      </c>
      <c r="H448" s="111">
        <v>53</v>
      </c>
      <c r="I448" s="86">
        <f t="shared" si="141"/>
        <v>-25</v>
      </c>
      <c r="J448" s="87">
        <f t="shared" si="142"/>
        <v>-47.1698113207547</v>
      </c>
      <c r="K448" s="88"/>
      <c r="L448" s="88">
        <f t="shared" si="143"/>
        <v>0</v>
      </c>
      <c r="M448" s="87">
        <f t="shared" si="144"/>
        <v>0</v>
      </c>
      <c r="N448" s="100"/>
    </row>
    <row r="449" s="3" customFormat="1" spans="1:14">
      <c r="A449" s="83" t="s">
        <v>155</v>
      </c>
      <c r="B449" s="84">
        <v>2120103</v>
      </c>
      <c r="C449" s="116" t="s">
        <v>521</v>
      </c>
      <c r="D449" s="86">
        <v>93</v>
      </c>
      <c r="E449" s="86">
        <v>93</v>
      </c>
      <c r="F449" s="110">
        <v>99</v>
      </c>
      <c r="G449" s="87">
        <f t="shared" si="140"/>
        <v>106.451612903226</v>
      </c>
      <c r="H449" s="111">
        <v>101</v>
      </c>
      <c r="I449" s="86">
        <f t="shared" si="141"/>
        <v>-2</v>
      </c>
      <c r="J449" s="87">
        <f t="shared" si="142"/>
        <v>-1.98019801980198</v>
      </c>
      <c r="K449" s="88">
        <v>37</v>
      </c>
      <c r="L449" s="88">
        <f t="shared" si="143"/>
        <v>-56</v>
      </c>
      <c r="M449" s="87">
        <f t="shared" si="144"/>
        <v>-60.2150537634409</v>
      </c>
      <c r="N449" s="100"/>
    </row>
    <row r="450" s="3" customFormat="1" spans="1:14">
      <c r="A450" s="83" t="s">
        <v>155</v>
      </c>
      <c r="B450" s="84">
        <v>2120104</v>
      </c>
      <c r="C450" s="116" t="s">
        <v>522</v>
      </c>
      <c r="D450" s="86"/>
      <c r="E450" s="86">
        <v>13</v>
      </c>
      <c r="F450" s="110">
        <v>13</v>
      </c>
      <c r="G450" s="87">
        <f t="shared" si="140"/>
        <v>100</v>
      </c>
      <c r="H450" s="111">
        <v>2</v>
      </c>
      <c r="I450" s="86">
        <f t="shared" si="141"/>
        <v>11</v>
      </c>
      <c r="J450" s="87">
        <f t="shared" si="142"/>
        <v>550</v>
      </c>
      <c r="K450" s="88"/>
      <c r="L450" s="88">
        <f t="shared" si="143"/>
        <v>0</v>
      </c>
      <c r="M450" s="87">
        <f t="shared" si="144"/>
        <v>0</v>
      </c>
      <c r="N450" s="100"/>
    </row>
    <row r="451" s="3" customFormat="1" spans="1:14">
      <c r="A451" s="83" t="s">
        <v>155</v>
      </c>
      <c r="B451" s="84">
        <v>2120199</v>
      </c>
      <c r="C451" s="116" t="s">
        <v>523</v>
      </c>
      <c r="D451" s="86">
        <v>27</v>
      </c>
      <c r="E451" s="86">
        <v>75</v>
      </c>
      <c r="F451" s="110">
        <v>71</v>
      </c>
      <c r="G451" s="87">
        <f t="shared" si="140"/>
        <v>94.6666666666667</v>
      </c>
      <c r="H451" s="111">
        <v>3</v>
      </c>
      <c r="I451" s="86">
        <f t="shared" si="141"/>
        <v>68</v>
      </c>
      <c r="J451" s="87">
        <f t="shared" si="142"/>
        <v>2266.66666666667</v>
      </c>
      <c r="K451" s="88">
        <v>8</v>
      </c>
      <c r="L451" s="88">
        <f t="shared" si="143"/>
        <v>-19</v>
      </c>
      <c r="M451" s="87">
        <f t="shared" si="144"/>
        <v>-70.3703703703704</v>
      </c>
      <c r="N451" s="100"/>
    </row>
    <row r="452" s="3" customFormat="1" spans="1:14">
      <c r="A452" s="83" t="s">
        <v>153</v>
      </c>
      <c r="B452" s="84">
        <v>21202</v>
      </c>
      <c r="C452" s="116" t="s">
        <v>524</v>
      </c>
      <c r="D452" s="86">
        <f t="shared" ref="D452:F452" si="167">D453</f>
        <v>264</v>
      </c>
      <c r="E452" s="86">
        <f t="shared" si="167"/>
        <v>40</v>
      </c>
      <c r="F452" s="19">
        <f t="shared" si="167"/>
        <v>31</v>
      </c>
      <c r="G452" s="87">
        <f t="shared" si="140"/>
        <v>77.5</v>
      </c>
      <c r="H452" s="86">
        <f>H453</f>
        <v>29</v>
      </c>
      <c r="I452" s="86">
        <f t="shared" si="141"/>
        <v>2</v>
      </c>
      <c r="J452" s="87">
        <f t="shared" si="142"/>
        <v>6.89655172413793</v>
      </c>
      <c r="K452" s="86">
        <f>K453</f>
        <v>0</v>
      </c>
      <c r="L452" s="88">
        <f t="shared" si="143"/>
        <v>-264</v>
      </c>
      <c r="M452" s="87">
        <f t="shared" si="144"/>
        <v>-100</v>
      </c>
      <c r="N452" s="100"/>
    </row>
    <row r="453" s="3" customFormat="1" spans="1:14">
      <c r="A453" s="83" t="s">
        <v>155</v>
      </c>
      <c r="B453" s="84">
        <v>2120201</v>
      </c>
      <c r="C453" s="116" t="s">
        <v>525</v>
      </c>
      <c r="D453" s="86">
        <f>231+33</f>
        <v>264</v>
      </c>
      <c r="E453" s="86">
        <v>40</v>
      </c>
      <c r="F453" s="19">
        <v>31</v>
      </c>
      <c r="G453" s="87">
        <f t="shared" si="140"/>
        <v>77.5</v>
      </c>
      <c r="H453" s="88">
        <v>29</v>
      </c>
      <c r="I453" s="86">
        <f t="shared" si="141"/>
        <v>2</v>
      </c>
      <c r="J453" s="87">
        <f t="shared" si="142"/>
        <v>6.89655172413793</v>
      </c>
      <c r="K453" s="88"/>
      <c r="L453" s="88">
        <f t="shared" si="143"/>
        <v>-264</v>
      </c>
      <c r="M453" s="87">
        <f t="shared" si="144"/>
        <v>-100</v>
      </c>
      <c r="N453" s="100"/>
    </row>
    <row r="454" s="3" customFormat="1" spans="1:14">
      <c r="A454" s="83" t="s">
        <v>153</v>
      </c>
      <c r="B454" s="84">
        <v>21203</v>
      </c>
      <c r="C454" s="116" t="s">
        <v>526</v>
      </c>
      <c r="D454" s="86">
        <f t="shared" ref="D454:F454" si="168">SUM(D455:D456)</f>
        <v>1774</v>
      </c>
      <c r="E454" s="86">
        <f t="shared" si="168"/>
        <v>1468</v>
      </c>
      <c r="F454" s="92">
        <f t="shared" si="168"/>
        <v>934</v>
      </c>
      <c r="G454" s="87">
        <f t="shared" si="140"/>
        <v>63.6239782016349</v>
      </c>
      <c r="H454" s="88">
        <f>SUM(H455:H456)</f>
        <v>1628</v>
      </c>
      <c r="I454" s="86">
        <f t="shared" si="141"/>
        <v>-694</v>
      </c>
      <c r="J454" s="87">
        <f t="shared" si="142"/>
        <v>-42.6289926289926</v>
      </c>
      <c r="K454" s="88">
        <f>SUM(K455:K456)</f>
        <v>0</v>
      </c>
      <c r="L454" s="88">
        <f t="shared" si="143"/>
        <v>-1774</v>
      </c>
      <c r="M454" s="87">
        <f t="shared" si="144"/>
        <v>-100</v>
      </c>
      <c r="N454" s="100"/>
    </row>
    <row r="455" s="3" customFormat="1" spans="1:14">
      <c r="A455" s="83" t="s">
        <v>155</v>
      </c>
      <c r="B455" s="84">
        <v>2120303</v>
      </c>
      <c r="C455" s="116" t="s">
        <v>527</v>
      </c>
      <c r="D455" s="86">
        <f>50+190+416</f>
        <v>656</v>
      </c>
      <c r="E455" s="86">
        <f>50+190+416-100</f>
        <v>556</v>
      </c>
      <c r="F455" s="110">
        <v>489</v>
      </c>
      <c r="G455" s="87">
        <f t="shared" ref="G455:G518" si="169">IF(E455=0,,F455/E455*100)</f>
        <v>87.9496402877698</v>
      </c>
      <c r="H455" s="111">
        <v>1358</v>
      </c>
      <c r="I455" s="86">
        <f t="shared" ref="I455:I518" si="170">F455-H455</f>
        <v>-869</v>
      </c>
      <c r="J455" s="87">
        <f t="shared" ref="J455:J518" si="171">IF(H455=0,,I455/H455*100)</f>
        <v>-63.9911634756996</v>
      </c>
      <c r="K455" s="88"/>
      <c r="L455" s="88">
        <f t="shared" ref="L455:L518" si="172">K455-D455</f>
        <v>-656</v>
      </c>
      <c r="M455" s="87">
        <f t="shared" ref="M455:M518" si="173">IF(D455=0,,L455/D455*100)</f>
        <v>-100</v>
      </c>
      <c r="N455" s="100"/>
    </row>
    <row r="456" s="3" customFormat="1" spans="1:14">
      <c r="A456" s="83" t="s">
        <v>155</v>
      </c>
      <c r="B456" s="84">
        <v>2120399</v>
      </c>
      <c r="C456" s="116" t="s">
        <v>528</v>
      </c>
      <c r="D456" s="86">
        <f>816+302</f>
        <v>1118</v>
      </c>
      <c r="E456" s="86">
        <f>816+302-106-100</f>
        <v>912</v>
      </c>
      <c r="F456" s="110">
        <v>445</v>
      </c>
      <c r="G456" s="87">
        <f t="shared" si="169"/>
        <v>48.7938596491228</v>
      </c>
      <c r="H456" s="111">
        <v>270</v>
      </c>
      <c r="I456" s="86">
        <f t="shared" si="170"/>
        <v>175</v>
      </c>
      <c r="J456" s="87">
        <f t="shared" si="171"/>
        <v>64.8148148148148</v>
      </c>
      <c r="K456" s="88"/>
      <c r="L456" s="88">
        <f t="shared" si="172"/>
        <v>-1118</v>
      </c>
      <c r="M456" s="87">
        <f t="shared" si="173"/>
        <v>-100</v>
      </c>
      <c r="N456" s="100"/>
    </row>
    <row r="457" s="3" customFormat="1" spans="1:14">
      <c r="A457" s="83" t="s">
        <v>153</v>
      </c>
      <c r="B457" s="84">
        <v>21205</v>
      </c>
      <c r="C457" s="116" t="s">
        <v>529</v>
      </c>
      <c r="D457" s="86">
        <f t="shared" ref="D457:F457" si="174">D458</f>
        <v>968</v>
      </c>
      <c r="E457" s="86">
        <f t="shared" si="174"/>
        <v>1168</v>
      </c>
      <c r="F457" s="19">
        <f t="shared" si="174"/>
        <v>1139</v>
      </c>
      <c r="G457" s="87">
        <f t="shared" si="169"/>
        <v>97.5171232876712</v>
      </c>
      <c r="H457" s="86">
        <f>H458</f>
        <v>155</v>
      </c>
      <c r="I457" s="86">
        <f t="shared" si="170"/>
        <v>984</v>
      </c>
      <c r="J457" s="87">
        <f t="shared" si="171"/>
        <v>634.838709677419</v>
      </c>
      <c r="K457" s="86">
        <f>K458</f>
        <v>626</v>
      </c>
      <c r="L457" s="88">
        <f t="shared" si="172"/>
        <v>-342</v>
      </c>
      <c r="M457" s="87">
        <f t="shared" si="173"/>
        <v>-35.3305785123967</v>
      </c>
      <c r="N457" s="100"/>
    </row>
    <row r="458" s="3" customFormat="1" spans="1:14">
      <c r="A458" s="83" t="s">
        <v>155</v>
      </c>
      <c r="B458" s="84">
        <v>2120501</v>
      </c>
      <c r="C458" s="116" t="s">
        <v>530</v>
      </c>
      <c r="D458" s="86">
        <f>363+605</f>
        <v>968</v>
      </c>
      <c r="E458" s="86">
        <f>363+605+200</f>
        <v>1168</v>
      </c>
      <c r="F458" s="19">
        <v>1139</v>
      </c>
      <c r="G458" s="87">
        <f t="shared" si="169"/>
        <v>97.5171232876712</v>
      </c>
      <c r="H458" s="88">
        <v>155</v>
      </c>
      <c r="I458" s="86">
        <f t="shared" si="170"/>
        <v>984</v>
      </c>
      <c r="J458" s="87">
        <f t="shared" si="171"/>
        <v>634.838709677419</v>
      </c>
      <c r="K458" s="88">
        <v>626</v>
      </c>
      <c r="L458" s="88">
        <f t="shared" si="172"/>
        <v>-342</v>
      </c>
      <c r="M458" s="87">
        <f t="shared" si="173"/>
        <v>-35.3305785123967</v>
      </c>
      <c r="N458" s="100"/>
    </row>
    <row r="459" s="3" customFormat="1" spans="1:14">
      <c r="A459" s="83" t="s">
        <v>153</v>
      </c>
      <c r="B459" s="84">
        <v>21206</v>
      </c>
      <c r="C459" s="116" t="s">
        <v>531</v>
      </c>
      <c r="D459" s="86"/>
      <c r="E459" s="86"/>
      <c r="F459" s="92"/>
      <c r="G459" s="87">
        <f t="shared" si="169"/>
        <v>0</v>
      </c>
      <c r="H459" s="88"/>
      <c r="I459" s="86">
        <f t="shared" si="170"/>
        <v>0</v>
      </c>
      <c r="J459" s="87">
        <f t="shared" si="171"/>
        <v>0</v>
      </c>
      <c r="K459" s="88"/>
      <c r="L459" s="88">
        <f t="shared" si="172"/>
        <v>0</v>
      </c>
      <c r="M459" s="87">
        <f t="shared" si="173"/>
        <v>0</v>
      </c>
      <c r="N459" s="100"/>
    </row>
    <row r="460" s="3" customFormat="1" spans="1:14">
      <c r="A460" s="83" t="s">
        <v>153</v>
      </c>
      <c r="B460" s="84">
        <v>21299</v>
      </c>
      <c r="C460" s="116" t="s">
        <v>532</v>
      </c>
      <c r="D460" s="86">
        <f t="shared" ref="D460:F460" si="175">D461</f>
        <v>0</v>
      </c>
      <c r="E460" s="86">
        <f t="shared" si="175"/>
        <v>120</v>
      </c>
      <c r="F460" s="19">
        <f t="shared" si="175"/>
        <v>120</v>
      </c>
      <c r="G460" s="87">
        <f t="shared" si="169"/>
        <v>100</v>
      </c>
      <c r="H460" s="86">
        <f>H461</f>
        <v>818</v>
      </c>
      <c r="I460" s="86">
        <f t="shared" si="170"/>
        <v>-698</v>
      </c>
      <c r="J460" s="87">
        <f t="shared" si="171"/>
        <v>-85.3300733496333</v>
      </c>
      <c r="K460" s="86">
        <f>K461</f>
        <v>0</v>
      </c>
      <c r="L460" s="88">
        <f t="shared" si="172"/>
        <v>0</v>
      </c>
      <c r="M460" s="87">
        <f t="shared" si="173"/>
        <v>0</v>
      </c>
      <c r="N460" s="100"/>
    </row>
    <row r="461" s="3" customFormat="1" spans="1:14">
      <c r="A461" s="83" t="s">
        <v>155</v>
      </c>
      <c r="B461" s="84">
        <v>2129999</v>
      </c>
      <c r="C461" s="116" t="s">
        <v>533</v>
      </c>
      <c r="D461" s="86"/>
      <c r="E461" s="86">
        <v>120</v>
      </c>
      <c r="F461" s="19">
        <v>120</v>
      </c>
      <c r="G461" s="87">
        <f t="shared" si="169"/>
        <v>100</v>
      </c>
      <c r="H461" s="88">
        <v>818</v>
      </c>
      <c r="I461" s="86">
        <f t="shared" si="170"/>
        <v>-698</v>
      </c>
      <c r="J461" s="87">
        <f t="shared" si="171"/>
        <v>-85.3300733496333</v>
      </c>
      <c r="K461" s="88"/>
      <c r="L461" s="88">
        <f t="shared" si="172"/>
        <v>0</v>
      </c>
      <c r="M461" s="87">
        <f t="shared" si="173"/>
        <v>0</v>
      </c>
      <c r="N461" s="100"/>
    </row>
    <row r="462" s="3" customFormat="1" spans="1:14">
      <c r="A462" s="83" t="s">
        <v>151</v>
      </c>
      <c r="B462" s="84">
        <v>213</v>
      </c>
      <c r="C462" s="116" t="s">
        <v>534</v>
      </c>
      <c r="D462" s="86">
        <f t="shared" ref="D462:F462" si="176">D463+D484+D495+D511+D520+D526+D528+D530</f>
        <v>11328</v>
      </c>
      <c r="E462" s="86">
        <f t="shared" si="176"/>
        <v>9378</v>
      </c>
      <c r="F462" s="86">
        <f t="shared" si="176"/>
        <v>10573</v>
      </c>
      <c r="G462" s="87">
        <f t="shared" si="169"/>
        <v>112.742589038174</v>
      </c>
      <c r="H462" s="88">
        <f>H463+H484+H495+H511+H520+H526+H528+H530</f>
        <v>9463</v>
      </c>
      <c r="I462" s="86">
        <f t="shared" si="170"/>
        <v>1110</v>
      </c>
      <c r="J462" s="87">
        <f t="shared" si="171"/>
        <v>11.7298953820142</v>
      </c>
      <c r="K462" s="88">
        <f>K463+K484+K495+K511+K520+K526+K528+K530</f>
        <v>9670</v>
      </c>
      <c r="L462" s="88">
        <f t="shared" si="172"/>
        <v>-1658</v>
      </c>
      <c r="M462" s="87">
        <f t="shared" si="173"/>
        <v>-14.6362994350282</v>
      </c>
      <c r="N462" s="100"/>
    </row>
    <row r="463" s="3" customFormat="1" spans="1:14">
      <c r="A463" s="83" t="s">
        <v>153</v>
      </c>
      <c r="B463" s="84">
        <v>21301</v>
      </c>
      <c r="C463" s="116" t="s">
        <v>535</v>
      </c>
      <c r="D463" s="86">
        <f t="shared" ref="D463:F463" si="177">SUM(D464:D483)</f>
        <v>3257</v>
      </c>
      <c r="E463" s="86">
        <f t="shared" si="177"/>
        <v>3110</v>
      </c>
      <c r="F463" s="92">
        <f t="shared" si="177"/>
        <v>3313</v>
      </c>
      <c r="G463" s="87">
        <f t="shared" si="169"/>
        <v>106.527331189711</v>
      </c>
      <c r="H463" s="88">
        <f>SUM(H464:H483)</f>
        <v>2470</v>
      </c>
      <c r="I463" s="86">
        <f t="shared" si="170"/>
        <v>843</v>
      </c>
      <c r="J463" s="87">
        <f t="shared" si="171"/>
        <v>34.1295546558705</v>
      </c>
      <c r="K463" s="88">
        <f>SUM(K464:K483)</f>
        <v>1859</v>
      </c>
      <c r="L463" s="88">
        <f t="shared" si="172"/>
        <v>-1398</v>
      </c>
      <c r="M463" s="87">
        <f t="shared" si="173"/>
        <v>-42.9229352164569</v>
      </c>
      <c r="N463" s="100"/>
    </row>
    <row r="464" s="3" customFormat="1" spans="1:14">
      <c r="A464" s="83" t="s">
        <v>155</v>
      </c>
      <c r="B464" s="84">
        <v>2130101</v>
      </c>
      <c r="C464" s="116" t="s">
        <v>519</v>
      </c>
      <c r="D464" s="86">
        <v>333</v>
      </c>
      <c r="E464" s="86">
        <v>333</v>
      </c>
      <c r="F464" s="110">
        <v>435</v>
      </c>
      <c r="G464" s="87">
        <f t="shared" si="169"/>
        <v>130.630630630631</v>
      </c>
      <c r="H464" s="111">
        <v>594</v>
      </c>
      <c r="I464" s="86">
        <f t="shared" si="170"/>
        <v>-159</v>
      </c>
      <c r="J464" s="87">
        <f t="shared" si="171"/>
        <v>-26.7676767676768</v>
      </c>
      <c r="K464" s="88">
        <v>285</v>
      </c>
      <c r="L464" s="88">
        <f t="shared" si="172"/>
        <v>-48</v>
      </c>
      <c r="M464" s="87">
        <f t="shared" si="173"/>
        <v>-14.4144144144144</v>
      </c>
      <c r="N464" s="100"/>
    </row>
    <row r="465" s="3" customFormat="1" spans="1:14">
      <c r="A465" s="83" t="s">
        <v>155</v>
      </c>
      <c r="B465" s="84">
        <v>2130102</v>
      </c>
      <c r="C465" s="116" t="s">
        <v>520</v>
      </c>
      <c r="D465" s="86"/>
      <c r="E465" s="86"/>
      <c r="F465" s="110">
        <v>7</v>
      </c>
      <c r="G465" s="87">
        <f t="shared" si="169"/>
        <v>0</v>
      </c>
      <c r="H465" s="111">
        <v>46</v>
      </c>
      <c r="I465" s="86">
        <f t="shared" si="170"/>
        <v>-39</v>
      </c>
      <c r="J465" s="87">
        <f t="shared" si="171"/>
        <v>-84.7826086956522</v>
      </c>
      <c r="K465" s="88"/>
      <c r="L465" s="88">
        <f t="shared" si="172"/>
        <v>0</v>
      </c>
      <c r="M465" s="87">
        <f t="shared" si="173"/>
        <v>0</v>
      </c>
      <c r="N465" s="100"/>
    </row>
    <row r="466" s="3" customFormat="1" spans="1:14">
      <c r="A466" s="83" t="s">
        <v>155</v>
      </c>
      <c r="B466" s="84">
        <v>2130104</v>
      </c>
      <c r="C466" s="116" t="s">
        <v>536</v>
      </c>
      <c r="D466" s="86">
        <v>321</v>
      </c>
      <c r="E466" s="86">
        <v>321</v>
      </c>
      <c r="F466" s="110">
        <v>228</v>
      </c>
      <c r="G466" s="87">
        <f t="shared" si="169"/>
        <v>71.0280373831776</v>
      </c>
      <c r="H466" s="111">
        <v>137</v>
      </c>
      <c r="I466" s="86">
        <f t="shared" si="170"/>
        <v>91</v>
      </c>
      <c r="J466" s="87">
        <f t="shared" si="171"/>
        <v>66.4233576642336</v>
      </c>
      <c r="K466" s="88">
        <v>84</v>
      </c>
      <c r="L466" s="88">
        <f t="shared" si="172"/>
        <v>-237</v>
      </c>
      <c r="M466" s="87">
        <f t="shared" si="173"/>
        <v>-73.8317757009346</v>
      </c>
      <c r="N466" s="100"/>
    </row>
    <row r="467" s="3" customFormat="1" spans="1:14">
      <c r="A467" s="83" t="s">
        <v>155</v>
      </c>
      <c r="B467" s="84">
        <v>2130106</v>
      </c>
      <c r="C467" s="116" t="s">
        <v>537</v>
      </c>
      <c r="D467" s="86">
        <v>100</v>
      </c>
      <c r="E467" s="86">
        <f>178+100</f>
        <v>278</v>
      </c>
      <c r="F467" s="110">
        <v>347</v>
      </c>
      <c r="G467" s="87">
        <f t="shared" si="169"/>
        <v>124.820143884892</v>
      </c>
      <c r="H467" s="111">
        <v>107</v>
      </c>
      <c r="I467" s="86">
        <f t="shared" si="170"/>
        <v>240</v>
      </c>
      <c r="J467" s="87">
        <f t="shared" si="171"/>
        <v>224.299065420561</v>
      </c>
      <c r="K467" s="88"/>
      <c r="L467" s="88">
        <f t="shared" si="172"/>
        <v>-100</v>
      </c>
      <c r="M467" s="87">
        <f t="shared" si="173"/>
        <v>-100</v>
      </c>
      <c r="N467" s="100"/>
    </row>
    <row r="468" s="3" customFormat="1" spans="1:14">
      <c r="A468" s="83" t="s">
        <v>155</v>
      </c>
      <c r="B468" s="84">
        <v>2130108</v>
      </c>
      <c r="C468" s="116" t="s">
        <v>538</v>
      </c>
      <c r="D468" s="86">
        <v>15</v>
      </c>
      <c r="E468" s="86">
        <v>15</v>
      </c>
      <c r="F468" s="110">
        <v>41</v>
      </c>
      <c r="G468" s="87">
        <f t="shared" si="169"/>
        <v>273.333333333333</v>
      </c>
      <c r="H468" s="111">
        <v>53</v>
      </c>
      <c r="I468" s="86">
        <f t="shared" si="170"/>
        <v>-12</v>
      </c>
      <c r="J468" s="87">
        <f t="shared" si="171"/>
        <v>-22.6415094339623</v>
      </c>
      <c r="K468" s="88">
        <f>27+18</f>
        <v>45</v>
      </c>
      <c r="L468" s="88">
        <f t="shared" si="172"/>
        <v>30</v>
      </c>
      <c r="M468" s="87">
        <f t="shared" si="173"/>
        <v>200</v>
      </c>
      <c r="N468" s="100"/>
    </row>
    <row r="469" s="3" customFormat="1" spans="1:14">
      <c r="A469" s="83" t="s">
        <v>155</v>
      </c>
      <c r="B469" s="84">
        <v>2130109</v>
      </c>
      <c r="C469" s="116" t="s">
        <v>539</v>
      </c>
      <c r="D469" s="86">
        <v>30</v>
      </c>
      <c r="E469" s="86">
        <v>30</v>
      </c>
      <c r="F469" s="110">
        <v>25</v>
      </c>
      <c r="G469" s="87">
        <f t="shared" si="169"/>
        <v>83.3333333333333</v>
      </c>
      <c r="H469" s="111">
        <v>12</v>
      </c>
      <c r="I469" s="86">
        <f t="shared" si="170"/>
        <v>13</v>
      </c>
      <c r="J469" s="87">
        <f t="shared" si="171"/>
        <v>108.333333333333</v>
      </c>
      <c r="K469" s="88">
        <v>10</v>
      </c>
      <c r="L469" s="88">
        <f t="shared" si="172"/>
        <v>-20</v>
      </c>
      <c r="M469" s="87">
        <f t="shared" si="173"/>
        <v>-66.6666666666667</v>
      </c>
      <c r="N469" s="100"/>
    </row>
    <row r="470" s="3" customFormat="1" spans="1:14">
      <c r="A470" s="83" t="s">
        <v>155</v>
      </c>
      <c r="B470" s="84">
        <v>2130111</v>
      </c>
      <c r="C470" s="116" t="s">
        <v>540</v>
      </c>
      <c r="D470" s="86"/>
      <c r="E470" s="86"/>
      <c r="F470" s="19"/>
      <c r="G470" s="87">
        <f t="shared" si="169"/>
        <v>0</v>
      </c>
      <c r="H470" s="88"/>
      <c r="I470" s="86">
        <f t="shared" si="170"/>
        <v>0</v>
      </c>
      <c r="J470" s="87">
        <f t="shared" si="171"/>
        <v>0</v>
      </c>
      <c r="K470" s="88"/>
      <c r="L470" s="88">
        <f t="shared" si="172"/>
        <v>0</v>
      </c>
      <c r="M470" s="87">
        <f t="shared" si="173"/>
        <v>0</v>
      </c>
      <c r="N470" s="100"/>
    </row>
    <row r="471" s="3" customFormat="1" spans="1:14">
      <c r="A471" s="83" t="s">
        <v>155</v>
      </c>
      <c r="B471" s="84">
        <v>2130112</v>
      </c>
      <c r="C471" s="116" t="s">
        <v>541</v>
      </c>
      <c r="D471" s="86"/>
      <c r="E471" s="86"/>
      <c r="F471" s="110"/>
      <c r="G471" s="87">
        <f t="shared" si="169"/>
        <v>0</v>
      </c>
      <c r="H471" s="111">
        <v>10</v>
      </c>
      <c r="I471" s="86">
        <f t="shared" si="170"/>
        <v>-10</v>
      </c>
      <c r="J471" s="87">
        <f t="shared" si="171"/>
        <v>-100</v>
      </c>
      <c r="K471" s="88"/>
      <c r="L471" s="88">
        <f t="shared" si="172"/>
        <v>0</v>
      </c>
      <c r="M471" s="87">
        <f t="shared" si="173"/>
        <v>0</v>
      </c>
      <c r="N471" s="100"/>
    </row>
    <row r="472" s="3" customFormat="1" spans="1:14">
      <c r="A472" s="83" t="s">
        <v>155</v>
      </c>
      <c r="B472" s="84">
        <v>2130114</v>
      </c>
      <c r="C472" s="116" t="s">
        <v>542</v>
      </c>
      <c r="D472" s="86"/>
      <c r="E472" s="86"/>
      <c r="F472" s="19"/>
      <c r="G472" s="87">
        <f t="shared" si="169"/>
        <v>0</v>
      </c>
      <c r="H472" s="88"/>
      <c r="I472" s="86">
        <f t="shared" si="170"/>
        <v>0</v>
      </c>
      <c r="J472" s="87">
        <f t="shared" si="171"/>
        <v>0</v>
      </c>
      <c r="K472" s="88"/>
      <c r="L472" s="88">
        <f t="shared" si="172"/>
        <v>0</v>
      </c>
      <c r="M472" s="87">
        <f t="shared" si="173"/>
        <v>0</v>
      </c>
      <c r="N472" s="100"/>
    </row>
    <row r="473" s="3" customFormat="1" spans="1:14">
      <c r="A473" s="83" t="s">
        <v>155</v>
      </c>
      <c r="B473" s="84">
        <v>2130119</v>
      </c>
      <c r="C473" s="116" t="s">
        <v>543</v>
      </c>
      <c r="D473" s="86"/>
      <c r="E473" s="86"/>
      <c r="F473" s="19">
        <v>1</v>
      </c>
      <c r="G473" s="87">
        <f t="shared" si="169"/>
        <v>0</v>
      </c>
      <c r="H473" s="88">
        <v>38</v>
      </c>
      <c r="I473" s="86">
        <f t="shared" si="170"/>
        <v>-37</v>
      </c>
      <c r="J473" s="87">
        <f t="shared" si="171"/>
        <v>-97.3684210526316</v>
      </c>
      <c r="K473" s="88"/>
      <c r="L473" s="88">
        <f t="shared" si="172"/>
        <v>0</v>
      </c>
      <c r="M473" s="87">
        <f t="shared" si="173"/>
        <v>0</v>
      </c>
      <c r="N473" s="100"/>
    </row>
    <row r="474" s="3" customFormat="1" spans="1:14">
      <c r="A474" s="83" t="s">
        <v>155</v>
      </c>
      <c r="B474" s="84">
        <v>2130122</v>
      </c>
      <c r="C474" s="116" t="s">
        <v>544</v>
      </c>
      <c r="D474" s="86">
        <f>387+224+831</f>
        <v>1442</v>
      </c>
      <c r="E474" s="86">
        <f>387+224</f>
        <v>611</v>
      </c>
      <c r="F474" s="110">
        <v>682</v>
      </c>
      <c r="G474" s="87">
        <f t="shared" si="169"/>
        <v>111.620294599018</v>
      </c>
      <c r="H474" s="111">
        <v>255</v>
      </c>
      <c r="I474" s="86">
        <f t="shared" si="170"/>
        <v>427</v>
      </c>
      <c r="J474" s="87">
        <f t="shared" si="171"/>
        <v>167.450980392157</v>
      </c>
      <c r="K474" s="88">
        <f>20+189</f>
        <v>209</v>
      </c>
      <c r="L474" s="88">
        <f t="shared" si="172"/>
        <v>-1233</v>
      </c>
      <c r="M474" s="87">
        <f t="shared" si="173"/>
        <v>-85.506241331484</v>
      </c>
      <c r="N474" s="100"/>
    </row>
    <row r="475" s="3" customFormat="1" spans="1:14">
      <c r="A475" s="83" t="s">
        <v>155</v>
      </c>
      <c r="B475" s="84">
        <v>2130124</v>
      </c>
      <c r="C475" s="116" t="s">
        <v>545</v>
      </c>
      <c r="D475" s="86"/>
      <c r="E475" s="86">
        <v>200</v>
      </c>
      <c r="F475" s="110">
        <v>197</v>
      </c>
      <c r="G475" s="87">
        <f t="shared" si="169"/>
        <v>98.5</v>
      </c>
      <c r="H475" s="111">
        <v>103</v>
      </c>
      <c r="I475" s="86">
        <f t="shared" si="170"/>
        <v>94</v>
      </c>
      <c r="J475" s="87">
        <f t="shared" si="171"/>
        <v>91.2621359223301</v>
      </c>
      <c r="K475" s="88"/>
      <c r="L475" s="88">
        <f t="shared" si="172"/>
        <v>0</v>
      </c>
      <c r="M475" s="87">
        <f t="shared" si="173"/>
        <v>0</v>
      </c>
      <c r="N475" s="100"/>
    </row>
    <row r="476" s="3" customFormat="1" spans="1:14">
      <c r="A476" s="83" t="s">
        <v>155</v>
      </c>
      <c r="B476" s="84">
        <v>2130125</v>
      </c>
      <c r="C476" s="116" t="s">
        <v>546</v>
      </c>
      <c r="D476" s="86"/>
      <c r="E476" s="86">
        <v>53</v>
      </c>
      <c r="F476" s="110">
        <v>53</v>
      </c>
      <c r="G476" s="87">
        <f t="shared" si="169"/>
        <v>100</v>
      </c>
      <c r="H476" s="111">
        <v>162</v>
      </c>
      <c r="I476" s="86">
        <f t="shared" si="170"/>
        <v>-109</v>
      </c>
      <c r="J476" s="87">
        <f t="shared" si="171"/>
        <v>-67.2839506172839</v>
      </c>
      <c r="K476" s="88"/>
      <c r="L476" s="88">
        <f t="shared" si="172"/>
        <v>0</v>
      </c>
      <c r="M476" s="87">
        <f t="shared" si="173"/>
        <v>0</v>
      </c>
      <c r="N476" s="100"/>
    </row>
    <row r="477" s="3" customFormat="1" spans="1:14">
      <c r="A477" s="83" t="s">
        <v>155</v>
      </c>
      <c r="B477" s="84">
        <v>2130126</v>
      </c>
      <c r="C477" s="116" t="s">
        <v>547</v>
      </c>
      <c r="D477" s="86"/>
      <c r="E477" s="86"/>
      <c r="F477" s="110">
        <v>5</v>
      </c>
      <c r="G477" s="87">
        <f t="shared" si="169"/>
        <v>0</v>
      </c>
      <c r="H477" s="111">
        <v>47</v>
      </c>
      <c r="I477" s="86">
        <f t="shared" si="170"/>
        <v>-42</v>
      </c>
      <c r="J477" s="87">
        <f t="shared" si="171"/>
        <v>-89.3617021276596</v>
      </c>
      <c r="K477" s="88">
        <v>1</v>
      </c>
      <c r="L477" s="88">
        <f t="shared" si="172"/>
        <v>1</v>
      </c>
      <c r="M477" s="87">
        <f t="shared" si="173"/>
        <v>0</v>
      </c>
      <c r="N477" s="100"/>
    </row>
    <row r="478" s="3" customFormat="1" spans="1:14">
      <c r="A478" s="83" t="s">
        <v>155</v>
      </c>
      <c r="B478" s="84">
        <v>2130135</v>
      </c>
      <c r="C478" s="116" t="s">
        <v>548</v>
      </c>
      <c r="D478" s="86"/>
      <c r="E478" s="86"/>
      <c r="F478" s="19"/>
      <c r="G478" s="87">
        <f t="shared" si="169"/>
        <v>0</v>
      </c>
      <c r="H478" s="88"/>
      <c r="I478" s="86">
        <f t="shared" si="170"/>
        <v>0</v>
      </c>
      <c r="J478" s="87">
        <f t="shared" si="171"/>
        <v>0</v>
      </c>
      <c r="K478" s="88">
        <v>35</v>
      </c>
      <c r="L478" s="88">
        <f t="shared" si="172"/>
        <v>35</v>
      </c>
      <c r="M478" s="87">
        <f t="shared" si="173"/>
        <v>0</v>
      </c>
      <c r="N478" s="100"/>
    </row>
    <row r="479" s="3" customFormat="1" spans="1:14">
      <c r="A479" s="83" t="s">
        <v>155</v>
      </c>
      <c r="B479" s="84">
        <v>2130142</v>
      </c>
      <c r="C479" s="116" t="s">
        <v>549</v>
      </c>
      <c r="D479" s="86"/>
      <c r="E479" s="86"/>
      <c r="F479" s="19">
        <v>36</v>
      </c>
      <c r="G479" s="87">
        <f t="shared" si="169"/>
        <v>0</v>
      </c>
      <c r="H479" s="88"/>
      <c r="I479" s="86">
        <f t="shared" si="170"/>
        <v>36</v>
      </c>
      <c r="J479" s="87">
        <f t="shared" si="171"/>
        <v>0</v>
      </c>
      <c r="K479" s="88"/>
      <c r="L479" s="88">
        <f t="shared" si="172"/>
        <v>0</v>
      </c>
      <c r="M479" s="87">
        <f t="shared" si="173"/>
        <v>0</v>
      </c>
      <c r="N479" s="100"/>
    </row>
    <row r="480" s="3" customFormat="1" spans="1:14">
      <c r="A480" s="83" t="s">
        <v>155</v>
      </c>
      <c r="B480" s="84">
        <v>2130148</v>
      </c>
      <c r="C480" s="116" t="s">
        <v>550</v>
      </c>
      <c r="D480" s="86"/>
      <c r="E480" s="86"/>
      <c r="F480" s="110"/>
      <c r="G480" s="87">
        <f t="shared" si="169"/>
        <v>0</v>
      </c>
      <c r="H480" s="111">
        <v>66</v>
      </c>
      <c r="I480" s="86">
        <f t="shared" si="170"/>
        <v>-66</v>
      </c>
      <c r="J480" s="87">
        <f t="shared" si="171"/>
        <v>-100</v>
      </c>
      <c r="K480" s="88"/>
      <c r="L480" s="88">
        <f t="shared" si="172"/>
        <v>0</v>
      </c>
      <c r="M480" s="87">
        <f t="shared" si="173"/>
        <v>0</v>
      </c>
      <c r="N480" s="100"/>
    </row>
    <row r="481" s="3" customFormat="1" spans="1:14">
      <c r="A481" s="83" t="s">
        <v>155</v>
      </c>
      <c r="B481" s="84">
        <v>2130152</v>
      </c>
      <c r="C481" s="116" t="s">
        <v>551</v>
      </c>
      <c r="D481" s="86"/>
      <c r="E481" s="86"/>
      <c r="F481" s="110">
        <v>2</v>
      </c>
      <c r="G481" s="87">
        <f t="shared" si="169"/>
        <v>0</v>
      </c>
      <c r="H481" s="111"/>
      <c r="I481" s="86">
        <f t="shared" si="170"/>
        <v>2</v>
      </c>
      <c r="J481" s="87">
        <f t="shared" si="171"/>
        <v>0</v>
      </c>
      <c r="K481" s="88"/>
      <c r="L481" s="88">
        <f t="shared" si="172"/>
        <v>0</v>
      </c>
      <c r="M481" s="87">
        <f t="shared" si="173"/>
        <v>0</v>
      </c>
      <c r="N481" s="100"/>
    </row>
    <row r="482" s="3" customFormat="1" spans="1:14">
      <c r="A482" s="83" t="s">
        <v>155</v>
      </c>
      <c r="B482" s="84">
        <v>2130153</v>
      </c>
      <c r="C482" s="116" t="s">
        <v>552</v>
      </c>
      <c r="D482" s="86"/>
      <c r="E482" s="86">
        <f>169+400</f>
        <v>569</v>
      </c>
      <c r="F482" s="110">
        <v>573</v>
      </c>
      <c r="G482" s="87">
        <f t="shared" si="169"/>
        <v>100.702987697715</v>
      </c>
      <c r="H482" s="111"/>
      <c r="I482" s="86">
        <f t="shared" si="170"/>
        <v>573</v>
      </c>
      <c r="J482" s="87">
        <f t="shared" si="171"/>
        <v>0</v>
      </c>
      <c r="K482" s="88">
        <f>200+270</f>
        <v>470</v>
      </c>
      <c r="L482" s="88">
        <f t="shared" si="172"/>
        <v>470</v>
      </c>
      <c r="M482" s="87">
        <f t="shared" si="173"/>
        <v>0</v>
      </c>
      <c r="N482" s="100"/>
    </row>
    <row r="483" s="3" customFormat="1" spans="1:14">
      <c r="A483" s="83" t="s">
        <v>155</v>
      </c>
      <c r="B483" s="84">
        <v>2130199</v>
      </c>
      <c r="C483" s="116" t="s">
        <v>553</v>
      </c>
      <c r="D483" s="86">
        <f>127+45+59+33+200+2+550</f>
        <v>1016</v>
      </c>
      <c r="E483" s="86">
        <v>700</v>
      </c>
      <c r="F483" s="110">
        <v>681</v>
      </c>
      <c r="G483" s="87">
        <f t="shared" si="169"/>
        <v>97.2857142857143</v>
      </c>
      <c r="H483" s="111">
        <v>840</v>
      </c>
      <c r="I483" s="86">
        <f t="shared" si="170"/>
        <v>-159</v>
      </c>
      <c r="J483" s="87">
        <f t="shared" si="171"/>
        <v>-18.9285714285714</v>
      </c>
      <c r="K483" s="88">
        <f>494+26+200</f>
        <v>720</v>
      </c>
      <c r="L483" s="88">
        <f t="shared" si="172"/>
        <v>-296</v>
      </c>
      <c r="M483" s="87">
        <f t="shared" si="173"/>
        <v>-29.1338582677165</v>
      </c>
      <c r="N483" s="100"/>
    </row>
    <row r="484" s="3" customFormat="1" spans="1:14">
      <c r="A484" s="83" t="s">
        <v>153</v>
      </c>
      <c r="B484" s="84">
        <v>21302</v>
      </c>
      <c r="C484" s="116" t="s">
        <v>554</v>
      </c>
      <c r="D484" s="86">
        <f t="shared" ref="D484:F484" si="178">SUM(D485:D494)</f>
        <v>542</v>
      </c>
      <c r="E484" s="86">
        <f t="shared" si="178"/>
        <v>542</v>
      </c>
      <c r="F484" s="92">
        <f t="shared" si="178"/>
        <v>735</v>
      </c>
      <c r="G484" s="87">
        <f t="shared" si="169"/>
        <v>135.608856088561</v>
      </c>
      <c r="H484" s="88">
        <f>SUM(H485:H494)</f>
        <v>565</v>
      </c>
      <c r="I484" s="86">
        <f t="shared" si="170"/>
        <v>170</v>
      </c>
      <c r="J484" s="87">
        <f t="shared" si="171"/>
        <v>30.0884955752212</v>
      </c>
      <c r="K484" s="88">
        <f>SUM(K485:K494)</f>
        <v>359</v>
      </c>
      <c r="L484" s="88">
        <f t="shared" si="172"/>
        <v>-183</v>
      </c>
      <c r="M484" s="87">
        <f t="shared" si="173"/>
        <v>-33.7638376383764</v>
      </c>
      <c r="N484" s="100"/>
    </row>
    <row r="485" s="3" customFormat="1" spans="1:14">
      <c r="A485" s="83" t="s">
        <v>155</v>
      </c>
      <c r="B485" s="84">
        <v>2130201</v>
      </c>
      <c r="C485" s="116" t="s">
        <v>519</v>
      </c>
      <c r="D485" s="86">
        <v>66</v>
      </c>
      <c r="E485" s="86">
        <v>66</v>
      </c>
      <c r="F485" s="110">
        <v>94</v>
      </c>
      <c r="G485" s="87">
        <f t="shared" si="169"/>
        <v>142.424242424242</v>
      </c>
      <c r="H485" s="111">
        <v>139</v>
      </c>
      <c r="I485" s="86">
        <f t="shared" si="170"/>
        <v>-45</v>
      </c>
      <c r="J485" s="87">
        <f t="shared" si="171"/>
        <v>-32.3741007194245</v>
      </c>
      <c r="K485" s="88">
        <v>58</v>
      </c>
      <c r="L485" s="88">
        <f t="shared" si="172"/>
        <v>-8</v>
      </c>
      <c r="M485" s="87">
        <f t="shared" si="173"/>
        <v>-12.1212121212121</v>
      </c>
      <c r="N485" s="100"/>
    </row>
    <row r="486" s="3" customFormat="1" spans="1:14">
      <c r="A486" s="83" t="s">
        <v>155</v>
      </c>
      <c r="B486" s="84">
        <v>2130202</v>
      </c>
      <c r="C486" s="116" t="s">
        <v>520</v>
      </c>
      <c r="D486" s="86"/>
      <c r="E486" s="86"/>
      <c r="F486" s="110"/>
      <c r="G486" s="87">
        <f t="shared" si="169"/>
        <v>0</v>
      </c>
      <c r="H486" s="111"/>
      <c r="I486" s="86">
        <f t="shared" si="170"/>
        <v>0</v>
      </c>
      <c r="J486" s="87">
        <f t="shared" si="171"/>
        <v>0</v>
      </c>
      <c r="K486" s="88"/>
      <c r="L486" s="88">
        <f t="shared" si="172"/>
        <v>0</v>
      </c>
      <c r="M486" s="87">
        <f t="shared" si="173"/>
        <v>0</v>
      </c>
      <c r="N486" s="100"/>
    </row>
    <row r="487" s="3" customFormat="1" spans="1:14">
      <c r="A487" s="83" t="s">
        <v>155</v>
      </c>
      <c r="B487" s="84">
        <v>2130204</v>
      </c>
      <c r="C487" s="116" t="s">
        <v>555</v>
      </c>
      <c r="D487" s="86">
        <v>30</v>
      </c>
      <c r="E487" s="86">
        <v>30</v>
      </c>
      <c r="F487" s="110">
        <v>29</v>
      </c>
      <c r="G487" s="87">
        <f t="shared" si="169"/>
        <v>96.6666666666667</v>
      </c>
      <c r="H487" s="111">
        <v>5</v>
      </c>
      <c r="I487" s="86">
        <f t="shared" si="170"/>
        <v>24</v>
      </c>
      <c r="J487" s="87">
        <f t="shared" si="171"/>
        <v>480</v>
      </c>
      <c r="K487" s="88"/>
      <c r="L487" s="88">
        <f t="shared" si="172"/>
        <v>-30</v>
      </c>
      <c r="M487" s="87">
        <f t="shared" si="173"/>
        <v>-100</v>
      </c>
      <c r="N487" s="100"/>
    </row>
    <row r="488" s="3" customFormat="1" spans="1:14">
      <c r="A488" s="83" t="s">
        <v>155</v>
      </c>
      <c r="B488" s="84">
        <v>2130205</v>
      </c>
      <c r="C488" s="116" t="s">
        <v>556</v>
      </c>
      <c r="D488" s="86">
        <v>70</v>
      </c>
      <c r="E488" s="86">
        <v>70</v>
      </c>
      <c r="F488" s="110">
        <v>114</v>
      </c>
      <c r="G488" s="87">
        <f t="shared" si="169"/>
        <v>162.857142857143</v>
      </c>
      <c r="H488" s="111">
        <v>196</v>
      </c>
      <c r="I488" s="86">
        <f t="shared" si="170"/>
        <v>-82</v>
      </c>
      <c r="J488" s="87">
        <f t="shared" si="171"/>
        <v>-41.8367346938776</v>
      </c>
      <c r="K488" s="88"/>
      <c r="L488" s="88">
        <f t="shared" si="172"/>
        <v>-70</v>
      </c>
      <c r="M488" s="87">
        <f t="shared" si="173"/>
        <v>-100</v>
      </c>
      <c r="N488" s="100"/>
    </row>
    <row r="489" s="3" customFormat="1" spans="1:14">
      <c r="A489" s="83" t="s">
        <v>155</v>
      </c>
      <c r="B489" s="84">
        <v>2130207</v>
      </c>
      <c r="C489" s="116" t="s">
        <v>557</v>
      </c>
      <c r="D489" s="86"/>
      <c r="E489" s="86"/>
      <c r="F489" s="19">
        <v>74</v>
      </c>
      <c r="G489" s="87">
        <f t="shared" si="169"/>
        <v>0</v>
      </c>
      <c r="H489" s="88"/>
      <c r="I489" s="86">
        <f t="shared" si="170"/>
        <v>74</v>
      </c>
      <c r="J489" s="87">
        <f t="shared" si="171"/>
        <v>0</v>
      </c>
      <c r="K489" s="88">
        <v>2</v>
      </c>
      <c r="L489" s="88">
        <f t="shared" si="172"/>
        <v>2</v>
      </c>
      <c r="M489" s="87">
        <f t="shared" si="173"/>
        <v>0</v>
      </c>
      <c r="N489" s="100"/>
    </row>
    <row r="490" s="3" customFormat="1" spans="1:14">
      <c r="A490" s="83" t="s">
        <v>155</v>
      </c>
      <c r="B490" s="84">
        <v>2130209</v>
      </c>
      <c r="C490" s="116" t="s">
        <v>558</v>
      </c>
      <c r="D490" s="86">
        <f>243+5</f>
        <v>248</v>
      </c>
      <c r="E490" s="86">
        <f>243+5</f>
        <v>248</v>
      </c>
      <c r="F490" s="19">
        <v>227</v>
      </c>
      <c r="G490" s="87">
        <f t="shared" si="169"/>
        <v>91.5322580645161</v>
      </c>
      <c r="H490" s="88">
        <v>225</v>
      </c>
      <c r="I490" s="86">
        <f t="shared" si="170"/>
        <v>2</v>
      </c>
      <c r="J490" s="87">
        <f t="shared" si="171"/>
        <v>0.888888888888889</v>
      </c>
      <c r="K490" s="88"/>
      <c r="L490" s="88">
        <f t="shared" si="172"/>
        <v>-248</v>
      </c>
      <c r="M490" s="87">
        <f t="shared" si="173"/>
        <v>-100</v>
      </c>
      <c r="N490" s="100"/>
    </row>
    <row r="491" s="3" customFormat="1" spans="1:14">
      <c r="A491" s="83" t="s">
        <v>155</v>
      </c>
      <c r="B491" s="84">
        <v>2130211</v>
      </c>
      <c r="C491" s="116" t="s">
        <v>559</v>
      </c>
      <c r="D491" s="86"/>
      <c r="E491" s="86"/>
      <c r="F491" s="19">
        <v>23</v>
      </c>
      <c r="G491" s="87">
        <f t="shared" si="169"/>
        <v>0</v>
      </c>
      <c r="H491" s="88"/>
      <c r="I491" s="86">
        <f t="shared" si="170"/>
        <v>23</v>
      </c>
      <c r="J491" s="87">
        <f t="shared" si="171"/>
        <v>0</v>
      </c>
      <c r="K491" s="88"/>
      <c r="L491" s="88">
        <f t="shared" si="172"/>
        <v>0</v>
      </c>
      <c r="M491" s="87">
        <f t="shared" si="173"/>
        <v>0</v>
      </c>
      <c r="N491" s="100"/>
    </row>
    <row r="492" s="3" customFormat="1" spans="1:14">
      <c r="A492" s="83" t="s">
        <v>155</v>
      </c>
      <c r="B492" s="84">
        <v>2130213</v>
      </c>
      <c r="C492" s="116" t="s">
        <v>560</v>
      </c>
      <c r="D492" s="86"/>
      <c r="E492" s="86"/>
      <c r="F492" s="19"/>
      <c r="G492" s="87">
        <f t="shared" si="169"/>
        <v>0</v>
      </c>
      <c r="H492" s="88"/>
      <c r="I492" s="86">
        <f t="shared" si="170"/>
        <v>0</v>
      </c>
      <c r="J492" s="87">
        <f t="shared" si="171"/>
        <v>0</v>
      </c>
      <c r="K492" s="88"/>
      <c r="L492" s="88">
        <f t="shared" si="172"/>
        <v>0</v>
      </c>
      <c r="M492" s="87">
        <f t="shared" si="173"/>
        <v>0</v>
      </c>
      <c r="N492" s="100"/>
    </row>
    <row r="493" s="3" customFormat="1" spans="1:14">
      <c r="A493" s="83" t="s">
        <v>155</v>
      </c>
      <c r="B493" s="84">
        <v>2130234</v>
      </c>
      <c r="C493" s="116" t="s">
        <v>561</v>
      </c>
      <c r="D493" s="86"/>
      <c r="E493" s="86"/>
      <c r="F493" s="19">
        <v>5</v>
      </c>
      <c r="G493" s="87">
        <f t="shared" si="169"/>
        <v>0</v>
      </c>
      <c r="H493" s="88"/>
      <c r="I493" s="86">
        <f t="shared" si="170"/>
        <v>5</v>
      </c>
      <c r="J493" s="87">
        <f t="shared" si="171"/>
        <v>0</v>
      </c>
      <c r="K493" s="88"/>
      <c r="L493" s="88">
        <f t="shared" si="172"/>
        <v>0</v>
      </c>
      <c r="M493" s="87">
        <f t="shared" si="173"/>
        <v>0</v>
      </c>
      <c r="N493" s="100"/>
    </row>
    <row r="494" s="3" customFormat="1" spans="1:14">
      <c r="A494" s="83" t="s">
        <v>155</v>
      </c>
      <c r="B494" s="84">
        <v>2130299</v>
      </c>
      <c r="C494" s="116" t="s">
        <v>562</v>
      </c>
      <c r="D494" s="86">
        <f>126+2</f>
        <v>128</v>
      </c>
      <c r="E494" s="86">
        <f>126+2</f>
        <v>128</v>
      </c>
      <c r="F494" s="19">
        <v>169</v>
      </c>
      <c r="G494" s="87">
        <f t="shared" si="169"/>
        <v>132.03125</v>
      </c>
      <c r="H494" s="88"/>
      <c r="I494" s="86">
        <f t="shared" si="170"/>
        <v>169</v>
      </c>
      <c r="J494" s="87">
        <f t="shared" si="171"/>
        <v>0</v>
      </c>
      <c r="K494" s="88">
        <f>241+58</f>
        <v>299</v>
      </c>
      <c r="L494" s="88">
        <f t="shared" si="172"/>
        <v>171</v>
      </c>
      <c r="M494" s="87">
        <f t="shared" si="173"/>
        <v>133.59375</v>
      </c>
      <c r="N494" s="100"/>
    </row>
    <row r="495" s="3" customFormat="1" spans="1:14">
      <c r="A495" s="83" t="s">
        <v>153</v>
      </c>
      <c r="B495" s="84">
        <v>21303</v>
      </c>
      <c r="C495" s="116" t="s">
        <v>563</v>
      </c>
      <c r="D495" s="86">
        <f t="shared" ref="D495:F495" si="179">SUM(D496:D510)</f>
        <v>4173</v>
      </c>
      <c r="E495" s="86">
        <f t="shared" si="179"/>
        <v>2612</v>
      </c>
      <c r="F495" s="92">
        <f t="shared" si="179"/>
        <v>2689</v>
      </c>
      <c r="G495" s="87">
        <f t="shared" si="169"/>
        <v>102.947932618683</v>
      </c>
      <c r="H495" s="88">
        <f>SUM(H496:H510)</f>
        <v>2263</v>
      </c>
      <c r="I495" s="86">
        <f t="shared" si="170"/>
        <v>426</v>
      </c>
      <c r="J495" s="87">
        <f t="shared" si="171"/>
        <v>18.8245691559876</v>
      </c>
      <c r="K495" s="88">
        <f>SUM(K496:K510)</f>
        <v>1835</v>
      </c>
      <c r="L495" s="88">
        <f t="shared" si="172"/>
        <v>-2338</v>
      </c>
      <c r="M495" s="87">
        <f t="shared" si="173"/>
        <v>-56.0268392044093</v>
      </c>
      <c r="N495" s="100"/>
    </row>
    <row r="496" s="3" customFormat="1" spans="1:14">
      <c r="A496" s="83" t="s">
        <v>155</v>
      </c>
      <c r="B496" s="84">
        <v>2130301</v>
      </c>
      <c r="C496" s="116" t="s">
        <v>519</v>
      </c>
      <c r="D496" s="86">
        <v>105</v>
      </c>
      <c r="E496" s="86">
        <v>105</v>
      </c>
      <c r="F496" s="110">
        <v>130</v>
      </c>
      <c r="G496" s="87">
        <f t="shared" si="169"/>
        <v>123.809523809524</v>
      </c>
      <c r="H496" s="111">
        <v>166</v>
      </c>
      <c r="I496" s="86">
        <f t="shared" si="170"/>
        <v>-36</v>
      </c>
      <c r="J496" s="87">
        <f t="shared" si="171"/>
        <v>-21.6867469879518</v>
      </c>
      <c r="K496" s="88">
        <v>80</v>
      </c>
      <c r="L496" s="88">
        <f t="shared" si="172"/>
        <v>-25</v>
      </c>
      <c r="M496" s="87">
        <f t="shared" si="173"/>
        <v>-23.8095238095238</v>
      </c>
      <c r="N496" s="100"/>
    </row>
    <row r="497" s="3" customFormat="1" spans="1:14">
      <c r="A497" s="83" t="s">
        <v>155</v>
      </c>
      <c r="B497" s="84">
        <v>2130302</v>
      </c>
      <c r="C497" s="116" t="s">
        <v>520</v>
      </c>
      <c r="D497" s="86"/>
      <c r="E497" s="86"/>
      <c r="F497" s="110">
        <v>10</v>
      </c>
      <c r="G497" s="87">
        <f t="shared" si="169"/>
        <v>0</v>
      </c>
      <c r="H497" s="111"/>
      <c r="I497" s="86">
        <f t="shared" si="170"/>
        <v>10</v>
      </c>
      <c r="J497" s="87">
        <f t="shared" si="171"/>
        <v>0</v>
      </c>
      <c r="K497" s="88"/>
      <c r="L497" s="88">
        <f t="shared" si="172"/>
        <v>0</v>
      </c>
      <c r="M497" s="87">
        <f t="shared" si="173"/>
        <v>0</v>
      </c>
      <c r="N497" s="100"/>
    </row>
    <row r="498" s="3" customFormat="1" spans="1:14">
      <c r="A498" s="83" t="s">
        <v>155</v>
      </c>
      <c r="B498" s="84">
        <v>2130304</v>
      </c>
      <c r="C498" s="116" t="s">
        <v>564</v>
      </c>
      <c r="D498" s="86"/>
      <c r="E498" s="86"/>
      <c r="F498" s="110"/>
      <c r="G498" s="87">
        <f t="shared" si="169"/>
        <v>0</v>
      </c>
      <c r="H498" s="111"/>
      <c r="I498" s="86">
        <f t="shared" si="170"/>
        <v>0</v>
      </c>
      <c r="J498" s="87">
        <f t="shared" si="171"/>
        <v>0</v>
      </c>
      <c r="K498" s="88"/>
      <c r="L498" s="88">
        <f t="shared" si="172"/>
        <v>0</v>
      </c>
      <c r="M498" s="87">
        <f t="shared" si="173"/>
        <v>0</v>
      </c>
      <c r="N498" s="100"/>
    </row>
    <row r="499" s="3" customFormat="1" spans="1:14">
      <c r="A499" s="83" t="s">
        <v>155</v>
      </c>
      <c r="B499" s="84">
        <v>2130305</v>
      </c>
      <c r="C499" s="116" t="s">
        <v>565</v>
      </c>
      <c r="D499" s="86">
        <f>1985+296+317</f>
        <v>2598</v>
      </c>
      <c r="E499" s="86">
        <f>296+317</f>
        <v>613</v>
      </c>
      <c r="F499" s="110">
        <v>883</v>
      </c>
      <c r="G499" s="87">
        <f t="shared" si="169"/>
        <v>144.045676998369</v>
      </c>
      <c r="H499" s="111">
        <v>1092</v>
      </c>
      <c r="I499" s="86">
        <f t="shared" si="170"/>
        <v>-209</v>
      </c>
      <c r="J499" s="87">
        <f t="shared" si="171"/>
        <v>-19.1391941391941</v>
      </c>
      <c r="K499" s="88">
        <v>588</v>
      </c>
      <c r="L499" s="88">
        <f t="shared" si="172"/>
        <v>-2010</v>
      </c>
      <c r="M499" s="87">
        <f t="shared" si="173"/>
        <v>-77.3672055427252</v>
      </c>
      <c r="N499" s="100"/>
    </row>
    <row r="500" s="3" customFormat="1" spans="1:14">
      <c r="A500" s="83" t="s">
        <v>155</v>
      </c>
      <c r="B500" s="84">
        <v>2130306</v>
      </c>
      <c r="C500" s="116" t="s">
        <v>566</v>
      </c>
      <c r="D500" s="86">
        <v>2</v>
      </c>
      <c r="E500" s="86">
        <v>2</v>
      </c>
      <c r="F500" s="110">
        <v>22</v>
      </c>
      <c r="G500" s="87">
        <f t="shared" si="169"/>
        <v>1100</v>
      </c>
      <c r="H500" s="111">
        <v>45</v>
      </c>
      <c r="I500" s="86">
        <f t="shared" si="170"/>
        <v>-23</v>
      </c>
      <c r="J500" s="87">
        <f t="shared" si="171"/>
        <v>-51.1111111111111</v>
      </c>
      <c r="K500" s="88"/>
      <c r="L500" s="88">
        <f t="shared" si="172"/>
        <v>-2</v>
      </c>
      <c r="M500" s="87">
        <f t="shared" si="173"/>
        <v>-100</v>
      </c>
      <c r="N500" s="100"/>
    </row>
    <row r="501" s="3" customFormat="1" spans="1:14">
      <c r="A501" s="83" t="s">
        <v>155</v>
      </c>
      <c r="B501" s="84">
        <v>2130308</v>
      </c>
      <c r="C501" s="116" t="s">
        <v>567</v>
      </c>
      <c r="D501" s="86"/>
      <c r="E501" s="86"/>
      <c r="F501" s="110"/>
      <c r="G501" s="87">
        <f t="shared" si="169"/>
        <v>0</v>
      </c>
      <c r="H501" s="111"/>
      <c r="I501" s="86">
        <f t="shared" si="170"/>
        <v>0</v>
      </c>
      <c r="J501" s="87">
        <f t="shared" si="171"/>
        <v>0</v>
      </c>
      <c r="K501" s="88"/>
      <c r="L501" s="88">
        <f t="shared" si="172"/>
        <v>0</v>
      </c>
      <c r="M501" s="87">
        <f t="shared" si="173"/>
        <v>0</v>
      </c>
      <c r="N501" s="100"/>
    </row>
    <row r="502" s="3" customFormat="1" spans="1:14">
      <c r="A502" s="83" t="s">
        <v>155</v>
      </c>
      <c r="B502" s="84">
        <v>2130311</v>
      </c>
      <c r="C502" s="116" t="s">
        <v>568</v>
      </c>
      <c r="D502" s="86"/>
      <c r="E502" s="86"/>
      <c r="F502" s="110"/>
      <c r="G502" s="87">
        <f t="shared" si="169"/>
        <v>0</v>
      </c>
      <c r="H502" s="111"/>
      <c r="I502" s="86">
        <f t="shared" si="170"/>
        <v>0</v>
      </c>
      <c r="J502" s="87">
        <f t="shared" si="171"/>
        <v>0</v>
      </c>
      <c r="K502" s="88"/>
      <c r="L502" s="88">
        <f t="shared" si="172"/>
        <v>0</v>
      </c>
      <c r="M502" s="87">
        <f t="shared" si="173"/>
        <v>0</v>
      </c>
      <c r="N502" s="100"/>
    </row>
    <row r="503" s="3" customFormat="1" spans="1:14">
      <c r="A503" s="83" t="s">
        <v>155</v>
      </c>
      <c r="B503" s="84">
        <v>2130314</v>
      </c>
      <c r="C503" s="116" t="s">
        <v>569</v>
      </c>
      <c r="D503" s="86"/>
      <c r="E503" s="86"/>
      <c r="F503" s="110"/>
      <c r="G503" s="87">
        <f t="shared" si="169"/>
        <v>0</v>
      </c>
      <c r="H503" s="111">
        <v>22</v>
      </c>
      <c r="I503" s="86">
        <f t="shared" si="170"/>
        <v>-22</v>
      </c>
      <c r="J503" s="87">
        <f t="shared" si="171"/>
        <v>-100</v>
      </c>
      <c r="K503" s="88"/>
      <c r="L503" s="88">
        <f t="shared" si="172"/>
        <v>0</v>
      </c>
      <c r="M503" s="87">
        <f t="shared" si="173"/>
        <v>0</v>
      </c>
      <c r="N503" s="100"/>
    </row>
    <row r="504" s="3" customFormat="1" spans="1:14">
      <c r="A504" s="83" t="s">
        <v>155</v>
      </c>
      <c r="B504" s="84">
        <v>2130315</v>
      </c>
      <c r="C504" s="116" t="s">
        <v>570</v>
      </c>
      <c r="D504" s="86"/>
      <c r="E504" s="86"/>
      <c r="F504" s="110"/>
      <c r="G504" s="87">
        <f t="shared" si="169"/>
        <v>0</v>
      </c>
      <c r="H504" s="111"/>
      <c r="I504" s="86">
        <f t="shared" si="170"/>
        <v>0</v>
      </c>
      <c r="J504" s="87">
        <f t="shared" si="171"/>
        <v>0</v>
      </c>
      <c r="K504" s="88"/>
      <c r="L504" s="88">
        <f t="shared" si="172"/>
        <v>0</v>
      </c>
      <c r="M504" s="87">
        <f t="shared" si="173"/>
        <v>0</v>
      </c>
      <c r="N504" s="100"/>
    </row>
    <row r="505" s="3" customFormat="1" spans="1:14">
      <c r="A505" s="83" t="s">
        <v>155</v>
      </c>
      <c r="B505" s="84">
        <v>2130316</v>
      </c>
      <c r="C505" s="116" t="s">
        <v>571</v>
      </c>
      <c r="D505" s="86"/>
      <c r="E505" s="86">
        <v>120</v>
      </c>
      <c r="F505" s="110">
        <v>117</v>
      </c>
      <c r="G505" s="87">
        <f t="shared" si="169"/>
        <v>97.5</v>
      </c>
      <c r="H505" s="111">
        <v>10</v>
      </c>
      <c r="I505" s="86">
        <f t="shared" si="170"/>
        <v>107</v>
      </c>
      <c r="J505" s="87">
        <f t="shared" si="171"/>
        <v>1070</v>
      </c>
      <c r="K505" s="88"/>
      <c r="L505" s="88">
        <f t="shared" si="172"/>
        <v>0</v>
      </c>
      <c r="M505" s="87">
        <f t="shared" si="173"/>
        <v>0</v>
      </c>
      <c r="N505" s="100"/>
    </row>
    <row r="506" s="3" customFormat="1" spans="1:14">
      <c r="A506" s="83" t="s">
        <v>155</v>
      </c>
      <c r="B506" s="84">
        <v>2130319</v>
      </c>
      <c r="C506" s="116" t="s">
        <v>572</v>
      </c>
      <c r="D506" s="86"/>
      <c r="E506" s="86">
        <v>370</v>
      </c>
      <c r="F506" s="110">
        <v>367</v>
      </c>
      <c r="G506" s="87">
        <f t="shared" si="169"/>
        <v>99.1891891891892</v>
      </c>
      <c r="H506" s="111"/>
      <c r="I506" s="86">
        <f t="shared" si="170"/>
        <v>367</v>
      </c>
      <c r="J506" s="87">
        <f t="shared" si="171"/>
        <v>0</v>
      </c>
      <c r="K506" s="88"/>
      <c r="L506" s="88">
        <f t="shared" si="172"/>
        <v>0</v>
      </c>
      <c r="M506" s="87">
        <f t="shared" si="173"/>
        <v>0</v>
      </c>
      <c r="N506" s="100"/>
    </row>
    <row r="507" s="3" customFormat="1" spans="1:14">
      <c r="A507" s="83" t="s">
        <v>155</v>
      </c>
      <c r="B507" s="84">
        <v>2130321</v>
      </c>
      <c r="C507" s="116" t="s">
        <v>573</v>
      </c>
      <c r="D507" s="86"/>
      <c r="E507" s="86"/>
      <c r="F507" s="19"/>
      <c r="G507" s="87">
        <f t="shared" si="169"/>
        <v>0</v>
      </c>
      <c r="H507" s="88"/>
      <c r="I507" s="86">
        <f t="shared" si="170"/>
        <v>0</v>
      </c>
      <c r="J507" s="87">
        <f t="shared" si="171"/>
        <v>0</v>
      </c>
      <c r="K507" s="88"/>
      <c r="L507" s="88">
        <f t="shared" si="172"/>
        <v>0</v>
      </c>
      <c r="M507" s="87">
        <f t="shared" si="173"/>
        <v>0</v>
      </c>
      <c r="N507" s="100"/>
    </row>
    <row r="508" s="3" customFormat="1" spans="1:14">
      <c r="A508" s="83" t="s">
        <v>155</v>
      </c>
      <c r="B508" s="84">
        <v>2130334</v>
      </c>
      <c r="C508" s="116" t="s">
        <v>574</v>
      </c>
      <c r="D508" s="86">
        <v>43</v>
      </c>
      <c r="E508" s="86">
        <v>43</v>
      </c>
      <c r="F508" s="110">
        <v>48</v>
      </c>
      <c r="G508" s="87">
        <f t="shared" si="169"/>
        <v>111.627906976744</v>
      </c>
      <c r="H508" s="111">
        <v>14</v>
      </c>
      <c r="I508" s="86">
        <f t="shared" si="170"/>
        <v>34</v>
      </c>
      <c r="J508" s="87">
        <f t="shared" si="171"/>
        <v>242.857142857143</v>
      </c>
      <c r="K508" s="88"/>
      <c r="L508" s="88">
        <f t="shared" si="172"/>
        <v>-43</v>
      </c>
      <c r="M508" s="87">
        <f t="shared" si="173"/>
        <v>-100</v>
      </c>
      <c r="N508" s="100"/>
    </row>
    <row r="509" s="3" customFormat="1" spans="1:14">
      <c r="A509" s="83" t="s">
        <v>155</v>
      </c>
      <c r="B509" s="84">
        <v>2130335</v>
      </c>
      <c r="C509" s="116" t="s">
        <v>575</v>
      </c>
      <c r="D509" s="86">
        <f>11+853+55</f>
        <v>919</v>
      </c>
      <c r="E509" s="86">
        <v>853</v>
      </c>
      <c r="F509" s="110">
        <v>634</v>
      </c>
      <c r="G509" s="87">
        <f t="shared" si="169"/>
        <v>74.3259085580305</v>
      </c>
      <c r="H509" s="111">
        <v>859</v>
      </c>
      <c r="I509" s="86">
        <f t="shared" si="170"/>
        <v>-225</v>
      </c>
      <c r="J509" s="87">
        <f t="shared" si="171"/>
        <v>-26.1932479627474</v>
      </c>
      <c r="K509" s="88">
        <f>800-83-50</f>
        <v>667</v>
      </c>
      <c r="L509" s="88">
        <f t="shared" si="172"/>
        <v>-252</v>
      </c>
      <c r="M509" s="87">
        <f t="shared" si="173"/>
        <v>-27.4211099020675</v>
      </c>
      <c r="N509" s="100"/>
    </row>
    <row r="510" s="3" customFormat="1" spans="1:14">
      <c r="A510" s="83" t="s">
        <v>155</v>
      </c>
      <c r="B510" s="84">
        <v>2130399</v>
      </c>
      <c r="C510" s="116" t="s">
        <v>576</v>
      </c>
      <c r="D510" s="86">
        <f>400+3+99+4</f>
        <v>506</v>
      </c>
      <c r="E510" s="86">
        <f>400+3+99+4</f>
        <v>506</v>
      </c>
      <c r="F510" s="110">
        <v>478</v>
      </c>
      <c r="G510" s="87">
        <f t="shared" si="169"/>
        <v>94.4664031620553</v>
      </c>
      <c r="H510" s="111">
        <v>55</v>
      </c>
      <c r="I510" s="86">
        <f t="shared" si="170"/>
        <v>423</v>
      </c>
      <c r="J510" s="87">
        <f t="shared" si="171"/>
        <v>769.090909090909</v>
      </c>
      <c r="K510" s="88">
        <v>500</v>
      </c>
      <c r="L510" s="88">
        <f t="shared" si="172"/>
        <v>-6</v>
      </c>
      <c r="M510" s="87">
        <f t="shared" si="173"/>
        <v>-1.18577075098814</v>
      </c>
      <c r="N510" s="100"/>
    </row>
    <row r="511" s="3" customFormat="1" spans="1:14">
      <c r="A511" s="83" t="s">
        <v>153</v>
      </c>
      <c r="B511" s="84">
        <v>21305</v>
      </c>
      <c r="C511" s="116" t="s">
        <v>577</v>
      </c>
      <c r="D511" s="86">
        <f t="shared" ref="D511:F511" si="180">SUM(D512:D519)</f>
        <v>1866</v>
      </c>
      <c r="E511" s="86">
        <f t="shared" si="180"/>
        <v>1866</v>
      </c>
      <c r="F511" s="92">
        <f t="shared" si="180"/>
        <v>2803</v>
      </c>
      <c r="G511" s="87">
        <f t="shared" si="169"/>
        <v>150.21436227224</v>
      </c>
      <c r="H511" s="88">
        <f>SUM(H512:H519)</f>
        <v>2065</v>
      </c>
      <c r="I511" s="86">
        <f t="shared" si="170"/>
        <v>738</v>
      </c>
      <c r="J511" s="87">
        <f t="shared" si="171"/>
        <v>35.7384987893462</v>
      </c>
      <c r="K511" s="88">
        <f>SUM(K512:K519)</f>
        <v>4191</v>
      </c>
      <c r="L511" s="88">
        <f t="shared" si="172"/>
        <v>2325</v>
      </c>
      <c r="M511" s="87">
        <f t="shared" si="173"/>
        <v>124.59807073955</v>
      </c>
      <c r="N511" s="100"/>
    </row>
    <row r="512" s="3" customFormat="1" spans="1:14">
      <c r="A512" s="83" t="s">
        <v>155</v>
      </c>
      <c r="B512" s="84">
        <v>2130501</v>
      </c>
      <c r="C512" s="116" t="s">
        <v>519</v>
      </c>
      <c r="D512" s="86"/>
      <c r="E512" s="86"/>
      <c r="F512" s="110"/>
      <c r="G512" s="87">
        <f t="shared" si="169"/>
        <v>0</v>
      </c>
      <c r="H512" s="111"/>
      <c r="I512" s="86">
        <f t="shared" si="170"/>
        <v>0</v>
      </c>
      <c r="J512" s="87">
        <f t="shared" si="171"/>
        <v>0</v>
      </c>
      <c r="K512" s="88"/>
      <c r="L512" s="88">
        <f t="shared" si="172"/>
        <v>0</v>
      </c>
      <c r="M512" s="87">
        <f t="shared" si="173"/>
        <v>0</v>
      </c>
      <c r="N512" s="100"/>
    </row>
    <row r="513" s="3" customFormat="1" spans="1:14">
      <c r="A513" s="83" t="s">
        <v>155</v>
      </c>
      <c r="B513" s="84">
        <v>2130502</v>
      </c>
      <c r="C513" s="116" t="s">
        <v>520</v>
      </c>
      <c r="D513" s="86"/>
      <c r="E513" s="86"/>
      <c r="F513" s="110"/>
      <c r="G513" s="87">
        <f t="shared" si="169"/>
        <v>0</v>
      </c>
      <c r="H513" s="111"/>
      <c r="I513" s="86">
        <f t="shared" si="170"/>
        <v>0</v>
      </c>
      <c r="J513" s="87">
        <f t="shared" si="171"/>
        <v>0</v>
      </c>
      <c r="K513" s="88"/>
      <c r="L513" s="88">
        <f t="shared" si="172"/>
        <v>0</v>
      </c>
      <c r="M513" s="87">
        <f t="shared" si="173"/>
        <v>0</v>
      </c>
      <c r="N513" s="100"/>
    </row>
    <row r="514" s="3" customFormat="1" spans="1:14">
      <c r="A514" s="83" t="s">
        <v>155</v>
      </c>
      <c r="B514" s="84">
        <v>2130504</v>
      </c>
      <c r="C514" s="116" t="s">
        <v>578</v>
      </c>
      <c r="D514" s="86">
        <v>200</v>
      </c>
      <c r="E514" s="86">
        <v>200</v>
      </c>
      <c r="F514" s="110">
        <v>2261</v>
      </c>
      <c r="G514" s="87">
        <f t="shared" si="169"/>
        <v>1130.5</v>
      </c>
      <c r="H514" s="111">
        <v>33</v>
      </c>
      <c r="I514" s="86">
        <f t="shared" si="170"/>
        <v>2228</v>
      </c>
      <c r="J514" s="87">
        <f t="shared" si="171"/>
        <v>6751.51515151515</v>
      </c>
      <c r="K514" s="88"/>
      <c r="L514" s="88">
        <f t="shared" si="172"/>
        <v>-200</v>
      </c>
      <c r="M514" s="87">
        <f t="shared" si="173"/>
        <v>-100</v>
      </c>
      <c r="N514" s="100"/>
    </row>
    <row r="515" s="3" customFormat="1" spans="1:14">
      <c r="A515" s="83" t="s">
        <v>155</v>
      </c>
      <c r="B515" s="84">
        <v>2130505</v>
      </c>
      <c r="C515" s="116" t="s">
        <v>579</v>
      </c>
      <c r="D515" s="86">
        <v>208</v>
      </c>
      <c r="E515" s="86">
        <v>208</v>
      </c>
      <c r="F515" s="110">
        <v>294</v>
      </c>
      <c r="G515" s="87">
        <f t="shared" si="169"/>
        <v>141.346153846154</v>
      </c>
      <c r="H515" s="111">
        <v>27</v>
      </c>
      <c r="I515" s="86">
        <f t="shared" si="170"/>
        <v>267</v>
      </c>
      <c r="J515" s="87">
        <f t="shared" si="171"/>
        <v>988.888888888889</v>
      </c>
      <c r="K515" s="88"/>
      <c r="L515" s="88">
        <f t="shared" si="172"/>
        <v>-208</v>
      </c>
      <c r="M515" s="87">
        <f t="shared" si="173"/>
        <v>-100</v>
      </c>
      <c r="N515" s="100"/>
    </row>
    <row r="516" s="3" customFormat="1" spans="1:14">
      <c r="A516" s="83" t="s">
        <v>155</v>
      </c>
      <c r="B516" s="84">
        <v>2130506</v>
      </c>
      <c r="C516" s="116" t="s">
        <v>580</v>
      </c>
      <c r="D516" s="86"/>
      <c r="E516" s="86"/>
      <c r="F516" s="110">
        <v>48</v>
      </c>
      <c r="G516" s="87">
        <f t="shared" si="169"/>
        <v>0</v>
      </c>
      <c r="H516" s="111">
        <v>2</v>
      </c>
      <c r="I516" s="86">
        <f t="shared" si="170"/>
        <v>46</v>
      </c>
      <c r="J516" s="87">
        <f t="shared" si="171"/>
        <v>2300</v>
      </c>
      <c r="K516" s="88"/>
      <c r="L516" s="88">
        <f t="shared" si="172"/>
        <v>0</v>
      </c>
      <c r="M516" s="87">
        <f t="shared" si="173"/>
        <v>0</v>
      </c>
      <c r="N516" s="100"/>
    </row>
    <row r="517" s="3" customFormat="1" spans="1:14">
      <c r="A517" s="83" t="s">
        <v>155</v>
      </c>
      <c r="B517" s="84">
        <v>2130507</v>
      </c>
      <c r="C517" s="116" t="s">
        <v>581</v>
      </c>
      <c r="D517" s="86"/>
      <c r="E517" s="86"/>
      <c r="F517" s="110">
        <v>99</v>
      </c>
      <c r="G517" s="87">
        <f t="shared" si="169"/>
        <v>0</v>
      </c>
      <c r="H517" s="111">
        <v>18</v>
      </c>
      <c r="I517" s="86">
        <f t="shared" si="170"/>
        <v>81</v>
      </c>
      <c r="J517" s="87">
        <f t="shared" si="171"/>
        <v>450</v>
      </c>
      <c r="K517" s="88"/>
      <c r="L517" s="88">
        <f t="shared" si="172"/>
        <v>0</v>
      </c>
      <c r="M517" s="87">
        <f t="shared" si="173"/>
        <v>0</v>
      </c>
      <c r="N517" s="100"/>
    </row>
    <row r="518" s="3" customFormat="1" spans="1:14">
      <c r="A518" s="83" t="s">
        <v>155</v>
      </c>
      <c r="B518" s="84">
        <v>2130550</v>
      </c>
      <c r="C518" s="116" t="s">
        <v>582</v>
      </c>
      <c r="D518" s="86"/>
      <c r="E518" s="86"/>
      <c r="F518" s="110"/>
      <c r="G518" s="87">
        <f t="shared" si="169"/>
        <v>0</v>
      </c>
      <c r="H518" s="111">
        <v>22</v>
      </c>
      <c r="I518" s="86">
        <f t="shared" si="170"/>
        <v>-22</v>
      </c>
      <c r="J518" s="87">
        <f t="shared" si="171"/>
        <v>-100</v>
      </c>
      <c r="K518" s="88"/>
      <c r="L518" s="88">
        <f t="shared" si="172"/>
        <v>0</v>
      </c>
      <c r="M518" s="87">
        <f t="shared" si="173"/>
        <v>0</v>
      </c>
      <c r="N518" s="100"/>
    </row>
    <row r="519" s="3" customFormat="1" spans="1:14">
      <c r="A519" s="83" t="s">
        <v>155</v>
      </c>
      <c r="B519" s="84">
        <v>2130599</v>
      </c>
      <c r="C519" s="116" t="s">
        <v>583</v>
      </c>
      <c r="D519" s="86">
        <f>35+407+16+1000</f>
        <v>1458</v>
      </c>
      <c r="E519" s="86">
        <f>35+407+16+1000</f>
        <v>1458</v>
      </c>
      <c r="F519" s="110">
        <v>101</v>
      </c>
      <c r="G519" s="87">
        <f t="shared" ref="G519:G582" si="181">IF(E519=0,,F519/E519*100)</f>
        <v>6.92729766803841</v>
      </c>
      <c r="H519" s="111">
        <v>1963</v>
      </c>
      <c r="I519" s="86">
        <f t="shared" ref="I519:I582" si="182">F519-H519</f>
        <v>-1862</v>
      </c>
      <c r="J519" s="87">
        <f t="shared" ref="J519:J582" si="183">IF(H519=0,,I519/H519*100)</f>
        <v>-94.8548140601121</v>
      </c>
      <c r="K519" s="88">
        <f>3781+410</f>
        <v>4191</v>
      </c>
      <c r="L519" s="88">
        <f t="shared" ref="L519:L582" si="184">K519-D519</f>
        <v>2733</v>
      </c>
      <c r="M519" s="87">
        <f t="shared" ref="M519:M582" si="185">IF(D519=0,,L519/D519*100)</f>
        <v>187.448559670782</v>
      </c>
      <c r="N519" s="100"/>
    </row>
    <row r="520" s="3" customFormat="1" spans="1:14">
      <c r="A520" s="83" t="s">
        <v>153</v>
      </c>
      <c r="B520" s="84">
        <v>21307</v>
      </c>
      <c r="C520" s="116" t="s">
        <v>584</v>
      </c>
      <c r="D520" s="86">
        <f t="shared" ref="D520:F520" si="186">SUM(D521:D525)</f>
        <v>1063</v>
      </c>
      <c r="E520" s="86">
        <f t="shared" si="186"/>
        <v>1063</v>
      </c>
      <c r="F520" s="92">
        <f t="shared" si="186"/>
        <v>813</v>
      </c>
      <c r="G520" s="87">
        <f t="shared" si="181"/>
        <v>76.4816556914393</v>
      </c>
      <c r="H520" s="88">
        <f>SUM(H521:H525)</f>
        <v>1597</v>
      </c>
      <c r="I520" s="86">
        <f t="shared" si="182"/>
        <v>-784</v>
      </c>
      <c r="J520" s="87">
        <f t="shared" si="183"/>
        <v>-49.0920475892298</v>
      </c>
      <c r="K520" s="88">
        <f>SUM(K521:K525)</f>
        <v>1231</v>
      </c>
      <c r="L520" s="88">
        <f t="shared" si="184"/>
        <v>168</v>
      </c>
      <c r="M520" s="87">
        <f t="shared" si="185"/>
        <v>15.8043273753528</v>
      </c>
      <c r="N520" s="100"/>
    </row>
    <row r="521" s="3" customFormat="1" spans="1:14">
      <c r="A521" s="83" t="s">
        <v>155</v>
      </c>
      <c r="B521" s="84">
        <v>2130701</v>
      </c>
      <c r="C521" s="116" t="s">
        <v>585</v>
      </c>
      <c r="D521" s="86">
        <f>133+116+552</f>
        <v>801</v>
      </c>
      <c r="E521" s="86">
        <f>133+116+552</f>
        <v>801</v>
      </c>
      <c r="F521" s="110">
        <v>477</v>
      </c>
      <c r="G521" s="87">
        <f t="shared" si="181"/>
        <v>59.5505617977528</v>
      </c>
      <c r="H521" s="111">
        <v>1370</v>
      </c>
      <c r="I521" s="86">
        <f t="shared" si="182"/>
        <v>-893</v>
      </c>
      <c r="J521" s="87">
        <f t="shared" si="183"/>
        <v>-65.1824817518248</v>
      </c>
      <c r="K521" s="88">
        <v>130</v>
      </c>
      <c r="L521" s="88">
        <f t="shared" si="184"/>
        <v>-671</v>
      </c>
      <c r="M521" s="87">
        <f t="shared" si="185"/>
        <v>-83.7702871410737</v>
      </c>
      <c r="N521" s="100"/>
    </row>
    <row r="522" s="3" customFormat="1" spans="1:14">
      <c r="A522" s="83" t="s">
        <v>155</v>
      </c>
      <c r="B522" s="84">
        <v>2130705</v>
      </c>
      <c r="C522" s="116" t="s">
        <v>586</v>
      </c>
      <c r="D522" s="86"/>
      <c r="E522" s="86"/>
      <c r="F522" s="110"/>
      <c r="G522" s="87">
        <f t="shared" si="181"/>
        <v>0</v>
      </c>
      <c r="H522" s="111">
        <v>37</v>
      </c>
      <c r="I522" s="86">
        <f t="shared" si="182"/>
        <v>-37</v>
      </c>
      <c r="J522" s="87">
        <f t="shared" si="183"/>
        <v>-100</v>
      </c>
      <c r="K522" s="88"/>
      <c r="L522" s="88">
        <f t="shared" si="184"/>
        <v>0</v>
      </c>
      <c r="M522" s="87">
        <f t="shared" si="185"/>
        <v>0</v>
      </c>
      <c r="N522" s="100"/>
    </row>
    <row r="523" s="3" customFormat="1" spans="1:14">
      <c r="A523" s="83" t="s">
        <v>155</v>
      </c>
      <c r="B523" s="84">
        <v>2130706</v>
      </c>
      <c r="C523" s="116" t="s">
        <v>587</v>
      </c>
      <c r="D523" s="86">
        <v>250</v>
      </c>
      <c r="E523" s="86">
        <v>250</v>
      </c>
      <c r="F523" s="110">
        <v>330</v>
      </c>
      <c r="G523" s="87">
        <f t="shared" si="181"/>
        <v>132</v>
      </c>
      <c r="H523" s="111">
        <v>190</v>
      </c>
      <c r="I523" s="86">
        <f t="shared" si="182"/>
        <v>140</v>
      </c>
      <c r="J523" s="87">
        <f t="shared" si="183"/>
        <v>73.6842105263158</v>
      </c>
      <c r="K523" s="88"/>
      <c r="L523" s="88">
        <f t="shared" si="184"/>
        <v>-250</v>
      </c>
      <c r="M523" s="87">
        <f t="shared" si="185"/>
        <v>-100</v>
      </c>
      <c r="N523" s="100"/>
    </row>
    <row r="524" s="3" customFormat="1" spans="1:14">
      <c r="A524" s="83" t="s">
        <v>155</v>
      </c>
      <c r="B524" s="84">
        <v>2130707</v>
      </c>
      <c r="C524" s="116" t="s">
        <v>588</v>
      </c>
      <c r="D524" s="86"/>
      <c r="E524" s="86"/>
      <c r="F524" s="110"/>
      <c r="G524" s="87">
        <f t="shared" si="181"/>
        <v>0</v>
      </c>
      <c r="H524" s="111"/>
      <c r="I524" s="86">
        <f t="shared" si="182"/>
        <v>0</v>
      </c>
      <c r="J524" s="87">
        <f t="shared" si="183"/>
        <v>0</v>
      </c>
      <c r="K524" s="88"/>
      <c r="L524" s="88">
        <f t="shared" si="184"/>
        <v>0</v>
      </c>
      <c r="M524" s="87">
        <f t="shared" si="185"/>
        <v>0</v>
      </c>
      <c r="N524" s="100"/>
    </row>
    <row r="525" s="3" customFormat="1" spans="1:14">
      <c r="A525" s="83" t="s">
        <v>155</v>
      </c>
      <c r="B525" s="84">
        <v>2130799</v>
      </c>
      <c r="C525" s="116" t="s">
        <v>589</v>
      </c>
      <c r="D525" s="86">
        <f>10+2</f>
        <v>12</v>
      </c>
      <c r="E525" s="86">
        <f>10+2</f>
        <v>12</v>
      </c>
      <c r="F525" s="19">
        <v>6</v>
      </c>
      <c r="G525" s="87">
        <f t="shared" si="181"/>
        <v>50</v>
      </c>
      <c r="H525" s="88"/>
      <c r="I525" s="86">
        <f t="shared" si="182"/>
        <v>6</v>
      </c>
      <c r="J525" s="87">
        <f t="shared" si="183"/>
        <v>0</v>
      </c>
      <c r="K525" s="88">
        <v>1101</v>
      </c>
      <c r="L525" s="88">
        <f t="shared" si="184"/>
        <v>1089</v>
      </c>
      <c r="M525" s="87">
        <f t="shared" si="185"/>
        <v>9075</v>
      </c>
      <c r="N525" s="100"/>
    </row>
    <row r="526" s="3" customFormat="1" spans="1:14">
      <c r="A526" s="83" t="s">
        <v>153</v>
      </c>
      <c r="B526" s="84">
        <v>21308</v>
      </c>
      <c r="C526" s="116" t="s">
        <v>590</v>
      </c>
      <c r="D526" s="86">
        <f t="shared" ref="D526:F526" si="187">SUM(D527:D527)</f>
        <v>427</v>
      </c>
      <c r="E526" s="86">
        <f t="shared" si="187"/>
        <v>185</v>
      </c>
      <c r="F526" s="92">
        <f t="shared" si="187"/>
        <v>184</v>
      </c>
      <c r="G526" s="87">
        <f t="shared" si="181"/>
        <v>99.4594594594595</v>
      </c>
      <c r="H526" s="88">
        <f t="shared" ref="H526:H530" si="188">SUM(H527:H527)</f>
        <v>267</v>
      </c>
      <c r="I526" s="86">
        <f t="shared" si="182"/>
        <v>-83</v>
      </c>
      <c r="J526" s="87">
        <f t="shared" si="183"/>
        <v>-31.0861423220974</v>
      </c>
      <c r="K526" s="88">
        <f t="shared" ref="K526:K530" si="189">SUM(K527:K527)</f>
        <v>195</v>
      </c>
      <c r="L526" s="88">
        <f t="shared" si="184"/>
        <v>-232</v>
      </c>
      <c r="M526" s="87">
        <f t="shared" si="185"/>
        <v>-54.3325526932084</v>
      </c>
      <c r="N526" s="100"/>
    </row>
    <row r="527" s="3" customFormat="1" spans="1:14">
      <c r="A527" s="83" t="s">
        <v>155</v>
      </c>
      <c r="B527" s="84">
        <v>2130803</v>
      </c>
      <c r="C527" s="116" t="s">
        <v>591</v>
      </c>
      <c r="D527" s="86">
        <f>309+118</f>
        <v>427</v>
      </c>
      <c r="E527" s="86">
        <v>185</v>
      </c>
      <c r="F527" s="110">
        <v>184</v>
      </c>
      <c r="G527" s="87">
        <f t="shared" si="181"/>
        <v>99.4594594594595</v>
      </c>
      <c r="H527" s="111">
        <v>267</v>
      </c>
      <c r="I527" s="86">
        <f t="shared" si="182"/>
        <v>-83</v>
      </c>
      <c r="J527" s="87">
        <f t="shared" si="183"/>
        <v>-31.0861423220974</v>
      </c>
      <c r="K527" s="88">
        <v>195</v>
      </c>
      <c r="L527" s="88">
        <f t="shared" si="184"/>
        <v>-232</v>
      </c>
      <c r="M527" s="87">
        <f t="shared" si="185"/>
        <v>-54.3325526932084</v>
      </c>
      <c r="N527" s="100"/>
    </row>
    <row r="528" s="3" customFormat="1" spans="1:14">
      <c r="A528" s="83" t="s">
        <v>153</v>
      </c>
      <c r="B528" s="84">
        <v>21309</v>
      </c>
      <c r="C528" s="116" t="s">
        <v>592</v>
      </c>
      <c r="D528" s="86">
        <f t="shared" ref="D528:F528" si="190">SUM(D529:D529)</f>
        <v>0</v>
      </c>
      <c r="E528" s="86">
        <f t="shared" si="190"/>
        <v>0</v>
      </c>
      <c r="F528" s="92">
        <f t="shared" si="190"/>
        <v>0</v>
      </c>
      <c r="G528" s="87">
        <f t="shared" si="181"/>
        <v>0</v>
      </c>
      <c r="H528" s="88">
        <f t="shared" si="188"/>
        <v>0</v>
      </c>
      <c r="I528" s="86">
        <f t="shared" si="182"/>
        <v>0</v>
      </c>
      <c r="J528" s="87">
        <f t="shared" si="183"/>
        <v>0</v>
      </c>
      <c r="K528" s="88">
        <f t="shared" si="189"/>
        <v>0</v>
      </c>
      <c r="L528" s="88">
        <f t="shared" si="184"/>
        <v>0</v>
      </c>
      <c r="M528" s="87">
        <f t="shared" si="185"/>
        <v>0</v>
      </c>
      <c r="N528" s="100"/>
    </row>
    <row r="529" s="3" customFormat="1" spans="1:14">
      <c r="A529" s="83" t="s">
        <v>155</v>
      </c>
      <c r="B529" s="84">
        <v>2130999</v>
      </c>
      <c r="C529" s="116" t="s">
        <v>593</v>
      </c>
      <c r="D529" s="86"/>
      <c r="E529" s="86"/>
      <c r="F529" s="19"/>
      <c r="G529" s="87">
        <f t="shared" si="181"/>
        <v>0</v>
      </c>
      <c r="H529" s="88"/>
      <c r="I529" s="86">
        <f t="shared" si="182"/>
        <v>0</v>
      </c>
      <c r="J529" s="87">
        <f t="shared" si="183"/>
        <v>0</v>
      </c>
      <c r="K529" s="88"/>
      <c r="L529" s="88">
        <f t="shared" si="184"/>
        <v>0</v>
      </c>
      <c r="M529" s="87">
        <f t="shared" si="185"/>
        <v>0</v>
      </c>
      <c r="N529" s="100"/>
    </row>
    <row r="530" s="3" customFormat="1" spans="1:14">
      <c r="A530" s="83" t="s">
        <v>153</v>
      </c>
      <c r="B530" s="84">
        <v>21399</v>
      </c>
      <c r="C530" s="116" t="s">
        <v>594</v>
      </c>
      <c r="D530" s="86">
        <f t="shared" ref="D530:F530" si="191">SUM(D531:D531)</f>
        <v>0</v>
      </c>
      <c r="E530" s="86">
        <f t="shared" si="191"/>
        <v>0</v>
      </c>
      <c r="F530" s="92">
        <f t="shared" si="191"/>
        <v>36</v>
      </c>
      <c r="G530" s="87">
        <f t="shared" si="181"/>
        <v>0</v>
      </c>
      <c r="H530" s="88">
        <f t="shared" si="188"/>
        <v>236</v>
      </c>
      <c r="I530" s="86">
        <f t="shared" si="182"/>
        <v>-200</v>
      </c>
      <c r="J530" s="87">
        <f t="shared" si="183"/>
        <v>-84.7457627118644</v>
      </c>
      <c r="K530" s="88">
        <f t="shared" si="189"/>
        <v>0</v>
      </c>
      <c r="L530" s="88">
        <f t="shared" si="184"/>
        <v>0</v>
      </c>
      <c r="M530" s="87">
        <f t="shared" si="185"/>
        <v>0</v>
      </c>
      <c r="N530" s="100"/>
    </row>
    <row r="531" s="3" customFormat="1" spans="1:14">
      <c r="A531" s="83" t="s">
        <v>155</v>
      </c>
      <c r="B531" s="84">
        <v>2139999</v>
      </c>
      <c r="C531" s="116" t="s">
        <v>595</v>
      </c>
      <c r="D531" s="86"/>
      <c r="E531" s="86"/>
      <c r="F531" s="19">
        <v>36</v>
      </c>
      <c r="G531" s="87">
        <f t="shared" si="181"/>
        <v>0</v>
      </c>
      <c r="H531" s="88">
        <v>236</v>
      </c>
      <c r="I531" s="86">
        <f t="shared" si="182"/>
        <v>-200</v>
      </c>
      <c r="J531" s="87">
        <f t="shared" si="183"/>
        <v>-84.7457627118644</v>
      </c>
      <c r="K531" s="88"/>
      <c r="L531" s="88">
        <f t="shared" si="184"/>
        <v>0</v>
      </c>
      <c r="M531" s="87">
        <f t="shared" si="185"/>
        <v>0</v>
      </c>
      <c r="N531" s="100"/>
    </row>
    <row r="532" s="3" customFormat="1" spans="1:14">
      <c r="A532" s="83" t="s">
        <v>151</v>
      </c>
      <c r="B532" s="84">
        <v>214</v>
      </c>
      <c r="C532" s="116" t="s">
        <v>596</v>
      </c>
      <c r="D532" s="86">
        <f t="shared" ref="D532:F532" si="192">SUM(D533,D541,D543,D545,D548,,D550,D553)</f>
        <v>1025</v>
      </c>
      <c r="E532" s="86">
        <f t="shared" si="192"/>
        <v>191</v>
      </c>
      <c r="F532" s="86">
        <f t="shared" si="192"/>
        <v>1047</v>
      </c>
      <c r="G532" s="87">
        <f t="shared" si="181"/>
        <v>548.167539267016</v>
      </c>
      <c r="H532" s="88">
        <f>SUM(H533,H541,H543,H545,H548,,H550,H553)</f>
        <v>574</v>
      </c>
      <c r="I532" s="86">
        <f t="shared" si="182"/>
        <v>473</v>
      </c>
      <c r="J532" s="87">
        <f t="shared" si="183"/>
        <v>82.404181184669</v>
      </c>
      <c r="K532" s="88">
        <f>SUM(K533,K541,K543,K545,K548,,K550,K553)</f>
        <v>169</v>
      </c>
      <c r="L532" s="88">
        <f t="shared" si="184"/>
        <v>-856</v>
      </c>
      <c r="M532" s="87">
        <f t="shared" si="185"/>
        <v>-83.5121951219512</v>
      </c>
      <c r="N532" s="100"/>
    </row>
    <row r="533" s="3" customFormat="1" spans="1:14">
      <c r="A533" s="83" t="s">
        <v>153</v>
      </c>
      <c r="B533" s="84">
        <v>21401</v>
      </c>
      <c r="C533" s="116" t="s">
        <v>597</v>
      </c>
      <c r="D533" s="86">
        <f t="shared" ref="D533:F533" si="193">SUM(D534:D540)</f>
        <v>49</v>
      </c>
      <c r="E533" s="86">
        <f t="shared" si="193"/>
        <v>165</v>
      </c>
      <c r="F533" s="19">
        <f t="shared" si="193"/>
        <v>475</v>
      </c>
      <c r="G533" s="87">
        <f t="shared" si="181"/>
        <v>287.878787878788</v>
      </c>
      <c r="H533" s="88">
        <f>SUM(H534:H540)</f>
        <v>360</v>
      </c>
      <c r="I533" s="86">
        <f t="shared" si="182"/>
        <v>115</v>
      </c>
      <c r="J533" s="87">
        <f t="shared" si="183"/>
        <v>31.9444444444444</v>
      </c>
      <c r="K533" s="88">
        <f>SUM(K534:K540)</f>
        <v>19</v>
      </c>
      <c r="L533" s="88">
        <f t="shared" si="184"/>
        <v>-30</v>
      </c>
      <c r="M533" s="87">
        <f t="shared" si="185"/>
        <v>-61.2244897959184</v>
      </c>
      <c r="N533" s="100"/>
    </row>
    <row r="534" s="3" customFormat="1" spans="1:14">
      <c r="A534" s="83" t="s">
        <v>155</v>
      </c>
      <c r="B534" s="84">
        <v>2140101</v>
      </c>
      <c r="C534" s="116" t="s">
        <v>519</v>
      </c>
      <c r="D534" s="86">
        <f>5+43</f>
        <v>48</v>
      </c>
      <c r="E534" s="86">
        <f>5+43</f>
        <v>48</v>
      </c>
      <c r="F534" s="110">
        <v>72</v>
      </c>
      <c r="G534" s="87">
        <f t="shared" si="181"/>
        <v>150</v>
      </c>
      <c r="H534" s="111">
        <v>44</v>
      </c>
      <c r="I534" s="86">
        <f t="shared" si="182"/>
        <v>28</v>
      </c>
      <c r="J534" s="87">
        <f t="shared" si="183"/>
        <v>63.6363636363636</v>
      </c>
      <c r="K534" s="88">
        <v>19</v>
      </c>
      <c r="L534" s="88">
        <f t="shared" si="184"/>
        <v>-29</v>
      </c>
      <c r="M534" s="87">
        <f t="shared" si="185"/>
        <v>-60.4166666666667</v>
      </c>
      <c r="N534" s="100"/>
    </row>
    <row r="535" s="3" customFormat="1" spans="1:14">
      <c r="A535" s="83" t="s">
        <v>155</v>
      </c>
      <c r="B535" s="84">
        <v>2140102</v>
      </c>
      <c r="C535" s="116" t="s">
        <v>520</v>
      </c>
      <c r="D535" s="86"/>
      <c r="E535" s="86"/>
      <c r="F535" s="110">
        <v>4</v>
      </c>
      <c r="G535" s="87">
        <f t="shared" si="181"/>
        <v>0</v>
      </c>
      <c r="H535" s="111"/>
      <c r="I535" s="86">
        <f t="shared" si="182"/>
        <v>4</v>
      </c>
      <c r="J535" s="87">
        <f t="shared" si="183"/>
        <v>0</v>
      </c>
      <c r="K535" s="88"/>
      <c r="L535" s="88">
        <f t="shared" si="184"/>
        <v>0</v>
      </c>
      <c r="M535" s="87">
        <f t="shared" si="185"/>
        <v>0</v>
      </c>
      <c r="N535" s="100"/>
    </row>
    <row r="536" s="3" customFormat="1" spans="1:14">
      <c r="A536" s="83" t="s">
        <v>155</v>
      </c>
      <c r="B536" s="84">
        <v>2140104</v>
      </c>
      <c r="C536" s="116" t="s">
        <v>598</v>
      </c>
      <c r="D536" s="86">
        <v>1</v>
      </c>
      <c r="E536" s="86">
        <v>1</v>
      </c>
      <c r="F536" s="110">
        <v>148</v>
      </c>
      <c r="G536" s="87">
        <f t="shared" si="181"/>
        <v>14800</v>
      </c>
      <c r="H536" s="111">
        <v>155</v>
      </c>
      <c r="I536" s="86">
        <f t="shared" si="182"/>
        <v>-7</v>
      </c>
      <c r="J536" s="87">
        <f t="shared" si="183"/>
        <v>-4.51612903225806</v>
      </c>
      <c r="K536" s="88"/>
      <c r="L536" s="88">
        <f t="shared" si="184"/>
        <v>-1</v>
      </c>
      <c r="M536" s="87">
        <f t="shared" si="185"/>
        <v>-100</v>
      </c>
      <c r="N536" s="100"/>
    </row>
    <row r="537" s="3" customFormat="1" spans="1:14">
      <c r="A537" s="83" t="s">
        <v>155</v>
      </c>
      <c r="B537" s="84">
        <v>2140106</v>
      </c>
      <c r="C537" s="116" t="s">
        <v>599</v>
      </c>
      <c r="D537" s="86"/>
      <c r="E537" s="86">
        <v>100</v>
      </c>
      <c r="F537" s="110">
        <v>105</v>
      </c>
      <c r="G537" s="87">
        <f t="shared" si="181"/>
        <v>105</v>
      </c>
      <c r="H537" s="111">
        <v>82</v>
      </c>
      <c r="I537" s="86">
        <f t="shared" si="182"/>
        <v>23</v>
      </c>
      <c r="J537" s="87">
        <f t="shared" si="183"/>
        <v>28.0487804878049</v>
      </c>
      <c r="K537" s="88"/>
      <c r="L537" s="88">
        <f t="shared" si="184"/>
        <v>0</v>
      </c>
      <c r="M537" s="87">
        <f t="shared" si="185"/>
        <v>0</v>
      </c>
      <c r="N537" s="100"/>
    </row>
    <row r="538" s="3" customFormat="1" spans="1:14">
      <c r="A538" s="83" t="s">
        <v>155</v>
      </c>
      <c r="B538" s="84">
        <v>2140110</v>
      </c>
      <c r="C538" s="116" t="s">
        <v>600</v>
      </c>
      <c r="D538" s="86"/>
      <c r="E538" s="86"/>
      <c r="F538" s="110">
        <v>6</v>
      </c>
      <c r="G538" s="87">
        <f t="shared" si="181"/>
        <v>0</v>
      </c>
      <c r="H538" s="111"/>
      <c r="I538" s="86">
        <f t="shared" si="182"/>
        <v>6</v>
      </c>
      <c r="J538" s="87">
        <f t="shared" si="183"/>
        <v>0</v>
      </c>
      <c r="K538" s="88"/>
      <c r="L538" s="88">
        <f t="shared" si="184"/>
        <v>0</v>
      </c>
      <c r="M538" s="87">
        <f t="shared" si="185"/>
        <v>0</v>
      </c>
      <c r="N538" s="100"/>
    </row>
    <row r="539" s="3" customFormat="1" spans="1:14">
      <c r="A539" s="83" t="s">
        <v>155</v>
      </c>
      <c r="B539" s="84">
        <v>2140112</v>
      </c>
      <c r="C539" s="116" t="s">
        <v>601</v>
      </c>
      <c r="D539" s="86"/>
      <c r="E539" s="86"/>
      <c r="F539" s="110">
        <v>1</v>
      </c>
      <c r="G539" s="87">
        <f t="shared" si="181"/>
        <v>0</v>
      </c>
      <c r="H539" s="111">
        <v>13</v>
      </c>
      <c r="I539" s="86">
        <f t="shared" si="182"/>
        <v>-12</v>
      </c>
      <c r="J539" s="87">
        <f t="shared" si="183"/>
        <v>-92.3076923076923</v>
      </c>
      <c r="K539" s="88"/>
      <c r="L539" s="88">
        <f t="shared" si="184"/>
        <v>0</v>
      </c>
      <c r="M539" s="87">
        <f t="shared" si="185"/>
        <v>0</v>
      </c>
      <c r="N539" s="100"/>
    </row>
    <row r="540" s="3" customFormat="1" spans="1:14">
      <c r="A540" s="83" t="s">
        <v>155</v>
      </c>
      <c r="B540" s="84">
        <v>2140199</v>
      </c>
      <c r="C540" s="116" t="s">
        <v>602</v>
      </c>
      <c r="D540" s="86"/>
      <c r="E540" s="86">
        <v>16</v>
      </c>
      <c r="F540" s="110">
        <v>139</v>
      </c>
      <c r="G540" s="87">
        <f t="shared" si="181"/>
        <v>868.75</v>
      </c>
      <c r="H540" s="111">
        <v>66</v>
      </c>
      <c r="I540" s="86">
        <f t="shared" si="182"/>
        <v>73</v>
      </c>
      <c r="J540" s="87">
        <f t="shared" si="183"/>
        <v>110.606060606061</v>
      </c>
      <c r="K540" s="88"/>
      <c r="L540" s="88">
        <f t="shared" si="184"/>
        <v>0</v>
      </c>
      <c r="M540" s="87">
        <f t="shared" si="185"/>
        <v>0</v>
      </c>
      <c r="N540" s="100"/>
    </row>
    <row r="541" s="3" customFormat="1" spans="1:14">
      <c r="A541" s="83" t="s">
        <v>153</v>
      </c>
      <c r="B541" s="84">
        <v>21402</v>
      </c>
      <c r="C541" s="116" t="s">
        <v>603</v>
      </c>
      <c r="D541" s="86">
        <f t="shared" ref="D541:F541" si="194">SUM(D542:D542)</f>
        <v>0</v>
      </c>
      <c r="E541" s="86">
        <f t="shared" si="194"/>
        <v>0</v>
      </c>
      <c r="F541" s="19">
        <f t="shared" si="194"/>
        <v>0</v>
      </c>
      <c r="G541" s="87">
        <f t="shared" si="181"/>
        <v>0</v>
      </c>
      <c r="H541" s="88">
        <f>SUM(H542:H542)</f>
        <v>0</v>
      </c>
      <c r="I541" s="86">
        <f t="shared" si="182"/>
        <v>0</v>
      </c>
      <c r="J541" s="87">
        <f t="shared" si="183"/>
        <v>0</v>
      </c>
      <c r="K541" s="88">
        <f>SUM(K542:K542)</f>
        <v>0</v>
      </c>
      <c r="L541" s="88">
        <f t="shared" si="184"/>
        <v>0</v>
      </c>
      <c r="M541" s="87">
        <f t="shared" si="185"/>
        <v>0</v>
      </c>
      <c r="N541" s="100"/>
    </row>
    <row r="542" s="3" customFormat="1" spans="1:14">
      <c r="A542" s="83" t="s">
        <v>155</v>
      </c>
      <c r="B542" s="84">
        <v>2140299</v>
      </c>
      <c r="C542" s="116" t="s">
        <v>604</v>
      </c>
      <c r="D542" s="86"/>
      <c r="E542" s="86"/>
      <c r="F542" s="19"/>
      <c r="G542" s="87">
        <f t="shared" si="181"/>
        <v>0</v>
      </c>
      <c r="H542" s="88"/>
      <c r="I542" s="86">
        <f t="shared" si="182"/>
        <v>0</v>
      </c>
      <c r="J542" s="87">
        <f t="shared" si="183"/>
        <v>0</v>
      </c>
      <c r="K542" s="88"/>
      <c r="L542" s="88">
        <f t="shared" si="184"/>
        <v>0</v>
      </c>
      <c r="M542" s="87">
        <f t="shared" si="185"/>
        <v>0</v>
      </c>
      <c r="N542" s="100"/>
    </row>
    <row r="543" s="3" customFormat="1" spans="1:14">
      <c r="A543" s="83" t="s">
        <v>153</v>
      </c>
      <c r="B543" s="84">
        <v>21403</v>
      </c>
      <c r="C543" s="116" t="s">
        <v>605</v>
      </c>
      <c r="D543" s="86">
        <f t="shared" ref="D543:F543" si="195">SUM(D544:D544)</f>
        <v>0</v>
      </c>
      <c r="E543" s="86">
        <f t="shared" si="195"/>
        <v>0</v>
      </c>
      <c r="F543" s="19">
        <f t="shared" si="195"/>
        <v>0</v>
      </c>
      <c r="G543" s="87">
        <f t="shared" si="181"/>
        <v>0</v>
      </c>
      <c r="H543" s="88">
        <f>SUM(H544:H544)</f>
        <v>0</v>
      </c>
      <c r="I543" s="86">
        <f t="shared" si="182"/>
        <v>0</v>
      </c>
      <c r="J543" s="87">
        <f t="shared" si="183"/>
        <v>0</v>
      </c>
      <c r="K543" s="88">
        <f>SUM(K544:K544)</f>
        <v>0</v>
      </c>
      <c r="L543" s="88">
        <f t="shared" si="184"/>
        <v>0</v>
      </c>
      <c r="M543" s="87">
        <f t="shared" si="185"/>
        <v>0</v>
      </c>
      <c r="N543" s="100"/>
    </row>
    <row r="544" s="3" customFormat="1" spans="1:14">
      <c r="A544" s="83" t="s">
        <v>155</v>
      </c>
      <c r="B544" s="84">
        <v>2140399</v>
      </c>
      <c r="C544" s="116" t="s">
        <v>606</v>
      </c>
      <c r="D544" s="86"/>
      <c r="E544" s="86"/>
      <c r="F544" s="19"/>
      <c r="G544" s="87">
        <f t="shared" si="181"/>
        <v>0</v>
      </c>
      <c r="H544" s="88"/>
      <c r="I544" s="86">
        <f t="shared" si="182"/>
        <v>0</v>
      </c>
      <c r="J544" s="87">
        <f t="shared" si="183"/>
        <v>0</v>
      </c>
      <c r="K544" s="88"/>
      <c r="L544" s="88">
        <f t="shared" si="184"/>
        <v>0</v>
      </c>
      <c r="M544" s="87">
        <f t="shared" si="185"/>
        <v>0</v>
      </c>
      <c r="N544" s="100"/>
    </row>
    <row r="545" s="3" customFormat="1" spans="1:14">
      <c r="A545" s="83" t="s">
        <v>153</v>
      </c>
      <c r="B545" s="84">
        <v>21404</v>
      </c>
      <c r="C545" s="116" t="s">
        <v>607</v>
      </c>
      <c r="D545" s="86">
        <f t="shared" ref="D545:F545" si="196">SUM(D546:D547)</f>
        <v>126</v>
      </c>
      <c r="E545" s="86">
        <f t="shared" si="196"/>
        <v>26</v>
      </c>
      <c r="F545" s="92">
        <f t="shared" si="196"/>
        <v>22</v>
      </c>
      <c r="G545" s="87">
        <f t="shared" si="181"/>
        <v>84.6153846153846</v>
      </c>
      <c r="H545" s="86">
        <f>SUM(H546:H547)</f>
        <v>102</v>
      </c>
      <c r="I545" s="86">
        <f t="shared" si="182"/>
        <v>-80</v>
      </c>
      <c r="J545" s="87">
        <f t="shared" si="183"/>
        <v>-78.4313725490196</v>
      </c>
      <c r="K545" s="86">
        <f>SUM(K546:K547)</f>
        <v>148</v>
      </c>
      <c r="L545" s="88">
        <f t="shared" si="184"/>
        <v>22</v>
      </c>
      <c r="M545" s="87">
        <f t="shared" si="185"/>
        <v>17.4603174603175</v>
      </c>
      <c r="N545" s="100"/>
    </row>
    <row r="546" s="3" customFormat="1" spans="1:14">
      <c r="A546" s="83" t="s">
        <v>155</v>
      </c>
      <c r="B546" s="84">
        <v>2140402</v>
      </c>
      <c r="C546" s="116" t="s">
        <v>608</v>
      </c>
      <c r="D546" s="86"/>
      <c r="E546" s="86">
        <v>12</v>
      </c>
      <c r="F546" s="19">
        <v>8</v>
      </c>
      <c r="G546" s="87">
        <f t="shared" si="181"/>
        <v>66.6666666666667</v>
      </c>
      <c r="H546" s="88"/>
      <c r="I546" s="86">
        <f t="shared" si="182"/>
        <v>8</v>
      </c>
      <c r="J546" s="87">
        <f t="shared" si="183"/>
        <v>0</v>
      </c>
      <c r="K546" s="88"/>
      <c r="L546" s="88">
        <f t="shared" si="184"/>
        <v>0</v>
      </c>
      <c r="M546" s="87">
        <f t="shared" si="185"/>
        <v>0</v>
      </c>
      <c r="N546" s="100"/>
    </row>
    <row r="547" s="3" customFormat="1" spans="1:14">
      <c r="A547" s="83" t="s">
        <v>155</v>
      </c>
      <c r="B547" s="84">
        <v>2140499</v>
      </c>
      <c r="C547" s="116" t="s">
        <v>609</v>
      </c>
      <c r="D547" s="86">
        <v>126</v>
      </c>
      <c r="E547" s="86">
        <v>14</v>
      </c>
      <c r="F547" s="110">
        <v>14</v>
      </c>
      <c r="G547" s="87">
        <f t="shared" si="181"/>
        <v>100</v>
      </c>
      <c r="H547" s="111">
        <v>102</v>
      </c>
      <c r="I547" s="86">
        <f t="shared" si="182"/>
        <v>-88</v>
      </c>
      <c r="J547" s="87">
        <f t="shared" si="183"/>
        <v>-86.2745098039216</v>
      </c>
      <c r="K547" s="88">
        <v>148</v>
      </c>
      <c r="L547" s="88">
        <f t="shared" si="184"/>
        <v>22</v>
      </c>
      <c r="M547" s="87">
        <f t="shared" si="185"/>
        <v>17.4603174603175</v>
      </c>
      <c r="N547" s="100"/>
    </row>
    <row r="548" s="3" customFormat="1" spans="1:14">
      <c r="A548" s="83" t="s">
        <v>153</v>
      </c>
      <c r="B548" s="84">
        <v>21405</v>
      </c>
      <c r="C548" s="116" t="s">
        <v>610</v>
      </c>
      <c r="D548" s="86">
        <f t="shared" ref="D548:F548" si="197">SUM(D549:D549)</f>
        <v>0</v>
      </c>
      <c r="E548" s="86">
        <f t="shared" si="197"/>
        <v>0</v>
      </c>
      <c r="F548" s="19">
        <f t="shared" si="197"/>
        <v>0</v>
      </c>
      <c r="G548" s="87">
        <f t="shared" si="181"/>
        <v>0</v>
      </c>
      <c r="H548" s="88">
        <f>SUM(H549:H549)</f>
        <v>0</v>
      </c>
      <c r="I548" s="86">
        <f t="shared" si="182"/>
        <v>0</v>
      </c>
      <c r="J548" s="87">
        <f t="shared" si="183"/>
        <v>0</v>
      </c>
      <c r="K548" s="88">
        <f>SUM(K549:K549)</f>
        <v>0</v>
      </c>
      <c r="L548" s="88">
        <f t="shared" si="184"/>
        <v>0</v>
      </c>
      <c r="M548" s="87">
        <f t="shared" si="185"/>
        <v>0</v>
      </c>
      <c r="N548" s="100"/>
    </row>
    <row r="549" s="3" customFormat="1" spans="1:14">
      <c r="A549" s="83" t="s">
        <v>155</v>
      </c>
      <c r="B549" s="84">
        <v>2140599</v>
      </c>
      <c r="C549" s="116" t="s">
        <v>611</v>
      </c>
      <c r="D549" s="86"/>
      <c r="E549" s="86"/>
      <c r="F549" s="19"/>
      <c r="G549" s="87">
        <f t="shared" si="181"/>
        <v>0</v>
      </c>
      <c r="H549" s="88"/>
      <c r="I549" s="86">
        <f t="shared" si="182"/>
        <v>0</v>
      </c>
      <c r="J549" s="87">
        <f t="shared" si="183"/>
        <v>0</v>
      </c>
      <c r="K549" s="88"/>
      <c r="L549" s="88">
        <f t="shared" si="184"/>
        <v>0</v>
      </c>
      <c r="M549" s="87">
        <f t="shared" si="185"/>
        <v>0</v>
      </c>
      <c r="N549" s="100"/>
    </row>
    <row r="550" s="3" customFormat="1" spans="1:14">
      <c r="A550" s="83" t="s">
        <v>153</v>
      </c>
      <c r="B550" s="84">
        <v>21406</v>
      </c>
      <c r="C550" s="116" t="s">
        <v>612</v>
      </c>
      <c r="D550" s="86">
        <f t="shared" ref="D550:F550" si="198">SUM(D551:D552)</f>
        <v>850</v>
      </c>
      <c r="E550" s="86">
        <f t="shared" si="198"/>
        <v>0</v>
      </c>
      <c r="F550" s="92">
        <f t="shared" si="198"/>
        <v>550</v>
      </c>
      <c r="G550" s="87">
        <f t="shared" si="181"/>
        <v>0</v>
      </c>
      <c r="H550" s="86">
        <f>SUM(H551:H552)</f>
        <v>110</v>
      </c>
      <c r="I550" s="86">
        <f t="shared" si="182"/>
        <v>440</v>
      </c>
      <c r="J550" s="87">
        <f t="shared" si="183"/>
        <v>400</v>
      </c>
      <c r="K550" s="86">
        <f>SUM(K551:K552)</f>
        <v>0</v>
      </c>
      <c r="L550" s="88">
        <f t="shared" si="184"/>
        <v>-850</v>
      </c>
      <c r="M550" s="87">
        <f t="shared" si="185"/>
        <v>-100</v>
      </c>
      <c r="N550" s="100"/>
    </row>
    <row r="551" s="3" customFormat="1" spans="1:14">
      <c r="A551" s="83" t="s">
        <v>155</v>
      </c>
      <c r="B551" s="84">
        <v>2140601</v>
      </c>
      <c r="C551" s="116" t="s">
        <v>613</v>
      </c>
      <c r="D551" s="86"/>
      <c r="E551" s="86"/>
      <c r="F551" s="19">
        <v>550</v>
      </c>
      <c r="G551" s="87">
        <f t="shared" si="181"/>
        <v>0</v>
      </c>
      <c r="H551" s="88"/>
      <c r="I551" s="86">
        <f t="shared" si="182"/>
        <v>550</v>
      </c>
      <c r="J551" s="87">
        <f t="shared" si="183"/>
        <v>0</v>
      </c>
      <c r="K551" s="88"/>
      <c r="L551" s="88">
        <f t="shared" si="184"/>
        <v>0</v>
      </c>
      <c r="M551" s="87">
        <f t="shared" si="185"/>
        <v>0</v>
      </c>
      <c r="N551" s="100"/>
    </row>
    <row r="552" s="3" customFormat="1" spans="1:14">
      <c r="A552" s="83" t="s">
        <v>155</v>
      </c>
      <c r="B552" s="84">
        <v>2140602</v>
      </c>
      <c r="C552" s="116" t="s">
        <v>614</v>
      </c>
      <c r="D552" s="86">
        <v>850</v>
      </c>
      <c r="E552" s="86"/>
      <c r="F552" s="19"/>
      <c r="G552" s="87">
        <f t="shared" si="181"/>
        <v>0</v>
      </c>
      <c r="H552" s="88">
        <v>110</v>
      </c>
      <c r="I552" s="86">
        <f t="shared" si="182"/>
        <v>-110</v>
      </c>
      <c r="J552" s="87">
        <f t="shared" si="183"/>
        <v>-100</v>
      </c>
      <c r="K552" s="88"/>
      <c r="L552" s="88">
        <f t="shared" si="184"/>
        <v>-850</v>
      </c>
      <c r="M552" s="87">
        <f t="shared" si="185"/>
        <v>-100</v>
      </c>
      <c r="N552" s="100"/>
    </row>
    <row r="553" s="3" customFormat="1" spans="1:14">
      <c r="A553" s="83" t="s">
        <v>153</v>
      </c>
      <c r="B553" s="84">
        <v>21499</v>
      </c>
      <c r="C553" s="116" t="s">
        <v>615</v>
      </c>
      <c r="D553" s="86">
        <f t="shared" ref="D553:F553" si="199">SUM(D554:D554)</f>
        <v>0</v>
      </c>
      <c r="E553" s="86">
        <f t="shared" si="199"/>
        <v>0</v>
      </c>
      <c r="F553" s="19">
        <f t="shared" si="199"/>
        <v>0</v>
      </c>
      <c r="G553" s="87">
        <f t="shared" si="181"/>
        <v>0</v>
      </c>
      <c r="H553" s="88">
        <f t="shared" ref="H553:H558" si="200">SUM(H554:H554)</f>
        <v>2</v>
      </c>
      <c r="I553" s="86">
        <f t="shared" si="182"/>
        <v>-2</v>
      </c>
      <c r="J553" s="87">
        <f t="shared" si="183"/>
        <v>-100</v>
      </c>
      <c r="K553" s="88">
        <f t="shared" ref="K553:K558" si="201">SUM(K554:K554)</f>
        <v>2</v>
      </c>
      <c r="L553" s="88">
        <f t="shared" si="184"/>
        <v>2</v>
      </c>
      <c r="M553" s="87">
        <f t="shared" si="185"/>
        <v>0</v>
      </c>
      <c r="N553" s="100"/>
    </row>
    <row r="554" s="3" customFormat="1" spans="1:14">
      <c r="A554" s="83" t="s">
        <v>155</v>
      </c>
      <c r="B554" s="84">
        <v>2149999</v>
      </c>
      <c r="C554" s="116" t="s">
        <v>616</v>
      </c>
      <c r="D554" s="86"/>
      <c r="E554" s="86"/>
      <c r="F554" s="110"/>
      <c r="G554" s="87">
        <f t="shared" si="181"/>
        <v>0</v>
      </c>
      <c r="H554" s="111">
        <v>2</v>
      </c>
      <c r="I554" s="86">
        <f t="shared" si="182"/>
        <v>-2</v>
      </c>
      <c r="J554" s="87">
        <f t="shared" si="183"/>
        <v>-100</v>
      </c>
      <c r="K554" s="88">
        <v>2</v>
      </c>
      <c r="L554" s="88">
        <f t="shared" si="184"/>
        <v>2</v>
      </c>
      <c r="M554" s="87">
        <f t="shared" si="185"/>
        <v>0</v>
      </c>
      <c r="N554" s="100"/>
    </row>
    <row r="555" s="3" customFormat="1" spans="1:14">
      <c r="A555" s="83" t="s">
        <v>151</v>
      </c>
      <c r="B555" s="84">
        <v>215</v>
      </c>
      <c r="C555" s="116" t="s">
        <v>617</v>
      </c>
      <c r="D555" s="86">
        <f t="shared" ref="D555:F555" si="202">SUM(D556,D558,D560,D562,D569,D571,D573)</f>
        <v>360</v>
      </c>
      <c r="E555" s="86">
        <f t="shared" si="202"/>
        <v>360</v>
      </c>
      <c r="F555" s="86">
        <f t="shared" si="202"/>
        <v>342</v>
      </c>
      <c r="G555" s="87">
        <f t="shared" si="181"/>
        <v>95</v>
      </c>
      <c r="H555" s="88">
        <f>SUM(H556,H558,H560,H562,H569,H571,H573)</f>
        <v>126</v>
      </c>
      <c r="I555" s="86">
        <f t="shared" si="182"/>
        <v>216</v>
      </c>
      <c r="J555" s="87">
        <f t="shared" si="183"/>
        <v>171.428571428571</v>
      </c>
      <c r="K555" s="88">
        <f>SUM(K556,K558,K560,K562,K569,K571,K573)</f>
        <v>111</v>
      </c>
      <c r="L555" s="88">
        <f t="shared" si="184"/>
        <v>-249</v>
      </c>
      <c r="M555" s="87">
        <f t="shared" si="185"/>
        <v>-69.1666666666667</v>
      </c>
      <c r="N555" s="100"/>
    </row>
    <row r="556" s="3" customFormat="1" spans="1:14">
      <c r="A556" s="83" t="s">
        <v>153</v>
      </c>
      <c r="B556" s="84">
        <v>21501</v>
      </c>
      <c r="C556" s="116" t="s">
        <v>618</v>
      </c>
      <c r="D556" s="86">
        <f t="shared" ref="D556:F556" si="203">SUM(D557:D557)</f>
        <v>0</v>
      </c>
      <c r="E556" s="86">
        <f t="shared" si="203"/>
        <v>0</v>
      </c>
      <c r="F556" s="19">
        <f t="shared" si="203"/>
        <v>0</v>
      </c>
      <c r="G556" s="87">
        <f t="shared" si="181"/>
        <v>0</v>
      </c>
      <c r="H556" s="88">
        <f t="shared" si="200"/>
        <v>0</v>
      </c>
      <c r="I556" s="86">
        <f t="shared" si="182"/>
        <v>0</v>
      </c>
      <c r="J556" s="87">
        <f t="shared" si="183"/>
        <v>0</v>
      </c>
      <c r="K556" s="88">
        <f t="shared" si="201"/>
        <v>0</v>
      </c>
      <c r="L556" s="88">
        <f t="shared" si="184"/>
        <v>0</v>
      </c>
      <c r="M556" s="87">
        <f t="shared" si="185"/>
        <v>0</v>
      </c>
      <c r="N556" s="100"/>
    </row>
    <row r="557" s="3" customFormat="1" spans="1:14">
      <c r="A557" s="83" t="s">
        <v>155</v>
      </c>
      <c r="B557" s="84">
        <v>2150199</v>
      </c>
      <c r="C557" s="116" t="s">
        <v>619</v>
      </c>
      <c r="D557" s="86"/>
      <c r="E557" s="86"/>
      <c r="F557" s="19"/>
      <c r="G557" s="87">
        <f t="shared" si="181"/>
        <v>0</v>
      </c>
      <c r="H557" s="88"/>
      <c r="I557" s="86">
        <f t="shared" si="182"/>
        <v>0</v>
      </c>
      <c r="J557" s="87">
        <f t="shared" si="183"/>
        <v>0</v>
      </c>
      <c r="K557" s="88"/>
      <c r="L557" s="88">
        <f t="shared" si="184"/>
        <v>0</v>
      </c>
      <c r="M557" s="87">
        <f t="shared" si="185"/>
        <v>0</v>
      </c>
      <c r="N557" s="100"/>
    </row>
    <row r="558" s="3" customFormat="1" spans="1:14">
      <c r="A558" s="83" t="s">
        <v>153</v>
      </c>
      <c r="B558" s="84">
        <v>21502</v>
      </c>
      <c r="C558" s="116" t="s">
        <v>620</v>
      </c>
      <c r="D558" s="86">
        <f t="shared" ref="D558:F558" si="204">SUM(D559:D559)</f>
        <v>0</v>
      </c>
      <c r="E558" s="86">
        <f t="shared" si="204"/>
        <v>0</v>
      </c>
      <c r="F558" s="19">
        <f t="shared" si="204"/>
        <v>0</v>
      </c>
      <c r="G558" s="87">
        <f t="shared" si="181"/>
        <v>0</v>
      </c>
      <c r="H558" s="88">
        <f t="shared" si="200"/>
        <v>0</v>
      </c>
      <c r="I558" s="86">
        <f t="shared" si="182"/>
        <v>0</v>
      </c>
      <c r="J558" s="87">
        <f t="shared" si="183"/>
        <v>0</v>
      </c>
      <c r="K558" s="88">
        <f t="shared" si="201"/>
        <v>0</v>
      </c>
      <c r="L558" s="88">
        <f t="shared" si="184"/>
        <v>0</v>
      </c>
      <c r="M558" s="87">
        <f t="shared" si="185"/>
        <v>0</v>
      </c>
      <c r="N558" s="100"/>
    </row>
    <row r="559" s="3" customFormat="1" spans="1:14">
      <c r="A559" s="83" t="s">
        <v>155</v>
      </c>
      <c r="B559" s="84">
        <v>2150299</v>
      </c>
      <c r="C559" s="116" t="s">
        <v>621</v>
      </c>
      <c r="D559" s="86"/>
      <c r="E559" s="86"/>
      <c r="F559" s="19"/>
      <c r="G559" s="87">
        <f t="shared" si="181"/>
        <v>0</v>
      </c>
      <c r="H559" s="88"/>
      <c r="I559" s="86">
        <f t="shared" si="182"/>
        <v>0</v>
      </c>
      <c r="J559" s="87">
        <f t="shared" si="183"/>
        <v>0</v>
      </c>
      <c r="K559" s="88"/>
      <c r="L559" s="88">
        <f t="shared" si="184"/>
        <v>0</v>
      </c>
      <c r="M559" s="87">
        <f t="shared" si="185"/>
        <v>0</v>
      </c>
      <c r="N559" s="100"/>
    </row>
    <row r="560" s="3" customFormat="1" spans="1:14">
      <c r="A560" s="83" t="s">
        <v>153</v>
      </c>
      <c r="B560" s="84">
        <v>21503</v>
      </c>
      <c r="C560" s="116" t="s">
        <v>622</v>
      </c>
      <c r="D560" s="86">
        <f t="shared" ref="D560:F560" si="205">SUM(D561:D561)</f>
        <v>0</v>
      </c>
      <c r="E560" s="86">
        <f t="shared" si="205"/>
        <v>0</v>
      </c>
      <c r="F560" s="19">
        <f t="shared" si="205"/>
        <v>0</v>
      </c>
      <c r="G560" s="87">
        <f t="shared" si="181"/>
        <v>0</v>
      </c>
      <c r="H560" s="88">
        <f>SUM(H561:H561)</f>
        <v>0</v>
      </c>
      <c r="I560" s="86">
        <f t="shared" si="182"/>
        <v>0</v>
      </c>
      <c r="J560" s="87">
        <f t="shared" si="183"/>
        <v>0</v>
      </c>
      <c r="K560" s="88">
        <f>SUM(K561:K561)</f>
        <v>0</v>
      </c>
      <c r="L560" s="88">
        <f t="shared" si="184"/>
        <v>0</v>
      </c>
      <c r="M560" s="87">
        <f t="shared" si="185"/>
        <v>0</v>
      </c>
      <c r="N560" s="100"/>
    </row>
    <row r="561" s="3" customFormat="1" spans="1:14">
      <c r="A561" s="83" t="s">
        <v>155</v>
      </c>
      <c r="B561" s="84">
        <v>2150399</v>
      </c>
      <c r="C561" s="116" t="s">
        <v>623</v>
      </c>
      <c r="D561" s="86"/>
      <c r="E561" s="86"/>
      <c r="F561" s="19"/>
      <c r="G561" s="87">
        <f t="shared" si="181"/>
        <v>0</v>
      </c>
      <c r="H561" s="88"/>
      <c r="I561" s="86">
        <f t="shared" si="182"/>
        <v>0</v>
      </c>
      <c r="J561" s="87">
        <f t="shared" si="183"/>
        <v>0</v>
      </c>
      <c r="K561" s="88"/>
      <c r="L561" s="88">
        <f t="shared" si="184"/>
        <v>0</v>
      </c>
      <c r="M561" s="87">
        <f t="shared" si="185"/>
        <v>0</v>
      </c>
      <c r="N561" s="100"/>
    </row>
    <row r="562" s="3" customFormat="1" spans="1:14">
      <c r="A562" s="83" t="s">
        <v>153</v>
      </c>
      <c r="B562" s="84">
        <v>21505</v>
      </c>
      <c r="C562" s="116" t="s">
        <v>624</v>
      </c>
      <c r="D562" s="86">
        <f t="shared" ref="D562:F562" si="206">SUM(D563:D568)</f>
        <v>360</v>
      </c>
      <c r="E562" s="86">
        <f t="shared" si="206"/>
        <v>360</v>
      </c>
      <c r="F562" s="19">
        <f t="shared" si="206"/>
        <v>321</v>
      </c>
      <c r="G562" s="87">
        <f t="shared" si="181"/>
        <v>89.1666666666667</v>
      </c>
      <c r="H562" s="88">
        <f>SUM(H563:H568)</f>
        <v>120</v>
      </c>
      <c r="I562" s="86">
        <f t="shared" si="182"/>
        <v>201</v>
      </c>
      <c r="J562" s="87">
        <f t="shared" si="183"/>
        <v>167.5</v>
      </c>
      <c r="K562" s="88">
        <f>SUM(K563:K568)</f>
        <v>111</v>
      </c>
      <c r="L562" s="88">
        <f t="shared" si="184"/>
        <v>-249</v>
      </c>
      <c r="M562" s="87">
        <f t="shared" si="185"/>
        <v>-69.1666666666667</v>
      </c>
      <c r="N562" s="100"/>
    </row>
    <row r="563" s="3" customFormat="1" spans="1:14">
      <c r="A563" s="83" t="s">
        <v>155</v>
      </c>
      <c r="B563" s="84">
        <v>2150501</v>
      </c>
      <c r="C563" s="116" t="s">
        <v>519</v>
      </c>
      <c r="D563" s="86">
        <v>67</v>
      </c>
      <c r="E563" s="86">
        <v>70</v>
      </c>
      <c r="F563" s="110">
        <v>70</v>
      </c>
      <c r="G563" s="87">
        <f t="shared" si="181"/>
        <v>100</v>
      </c>
      <c r="H563" s="111">
        <v>68</v>
      </c>
      <c r="I563" s="86">
        <f t="shared" si="182"/>
        <v>2</v>
      </c>
      <c r="J563" s="87">
        <f t="shared" si="183"/>
        <v>2.94117647058823</v>
      </c>
      <c r="K563" s="88">
        <v>31</v>
      </c>
      <c r="L563" s="88">
        <f t="shared" si="184"/>
        <v>-36</v>
      </c>
      <c r="M563" s="87">
        <f t="shared" si="185"/>
        <v>-53.7313432835821</v>
      </c>
      <c r="N563" s="100"/>
    </row>
    <row r="564" s="3" customFormat="1" spans="1:14">
      <c r="A564" s="83" t="s">
        <v>155</v>
      </c>
      <c r="B564" s="84">
        <v>2150502</v>
      </c>
      <c r="C564" s="116" t="s">
        <v>520</v>
      </c>
      <c r="D564" s="86"/>
      <c r="E564" s="86"/>
      <c r="F564" s="110"/>
      <c r="G564" s="87">
        <f t="shared" si="181"/>
        <v>0</v>
      </c>
      <c r="H564" s="111">
        <v>16</v>
      </c>
      <c r="I564" s="86">
        <f t="shared" si="182"/>
        <v>-16</v>
      </c>
      <c r="J564" s="87">
        <f t="shared" si="183"/>
        <v>-100</v>
      </c>
      <c r="K564" s="88"/>
      <c r="L564" s="88">
        <f t="shared" si="184"/>
        <v>0</v>
      </c>
      <c r="M564" s="87">
        <f t="shared" si="185"/>
        <v>0</v>
      </c>
      <c r="N564" s="100"/>
    </row>
    <row r="565" s="3" customFormat="1" spans="1:14">
      <c r="A565" s="83" t="s">
        <v>155</v>
      </c>
      <c r="B565" s="84">
        <v>2150510</v>
      </c>
      <c r="C565" s="116" t="s">
        <v>625</v>
      </c>
      <c r="D565" s="86">
        <v>120</v>
      </c>
      <c r="E565" s="86"/>
      <c r="F565" s="110"/>
      <c r="G565" s="87">
        <f t="shared" si="181"/>
        <v>0</v>
      </c>
      <c r="H565" s="111"/>
      <c r="I565" s="86">
        <f t="shared" si="182"/>
        <v>0</v>
      </c>
      <c r="J565" s="87">
        <f t="shared" si="183"/>
        <v>0</v>
      </c>
      <c r="K565" s="88"/>
      <c r="L565" s="88">
        <f t="shared" si="184"/>
        <v>-120</v>
      </c>
      <c r="M565" s="87">
        <f t="shared" si="185"/>
        <v>-100</v>
      </c>
      <c r="N565" s="100"/>
    </row>
    <row r="566" s="3" customFormat="1" spans="1:14">
      <c r="A566" s="83" t="s">
        <v>155</v>
      </c>
      <c r="B566" s="84">
        <v>2150517</v>
      </c>
      <c r="C566" s="116" t="s">
        <v>626</v>
      </c>
      <c r="D566" s="86"/>
      <c r="E566" s="86">
        <f>100+120</f>
        <v>220</v>
      </c>
      <c r="F566" s="110">
        <v>207</v>
      </c>
      <c r="G566" s="87">
        <f t="shared" si="181"/>
        <v>94.0909090909091</v>
      </c>
      <c r="H566" s="111"/>
      <c r="I566" s="86">
        <f t="shared" si="182"/>
        <v>207</v>
      </c>
      <c r="J566" s="87">
        <f t="shared" si="183"/>
        <v>0</v>
      </c>
      <c r="K566" s="88"/>
      <c r="L566" s="88">
        <f t="shared" si="184"/>
        <v>0</v>
      </c>
      <c r="M566" s="87">
        <f t="shared" si="185"/>
        <v>0</v>
      </c>
      <c r="N566" s="100"/>
    </row>
    <row r="567" s="3" customFormat="1" spans="1:14">
      <c r="A567" s="83" t="s">
        <v>155</v>
      </c>
      <c r="B567" s="84">
        <v>2150550</v>
      </c>
      <c r="C567" s="116" t="s">
        <v>536</v>
      </c>
      <c r="D567" s="86"/>
      <c r="E567" s="86">
        <v>30</v>
      </c>
      <c r="F567" s="110">
        <v>26</v>
      </c>
      <c r="G567" s="87">
        <f t="shared" si="181"/>
        <v>86.6666666666667</v>
      </c>
      <c r="H567" s="111"/>
      <c r="I567" s="86">
        <f t="shared" si="182"/>
        <v>26</v>
      </c>
      <c r="J567" s="87">
        <f t="shared" si="183"/>
        <v>0</v>
      </c>
      <c r="K567" s="88">
        <v>30</v>
      </c>
      <c r="L567" s="88">
        <f t="shared" si="184"/>
        <v>30</v>
      </c>
      <c r="M567" s="87">
        <f t="shared" si="185"/>
        <v>0</v>
      </c>
      <c r="N567" s="100"/>
    </row>
    <row r="568" s="3" customFormat="1" spans="1:14">
      <c r="A568" s="83" t="s">
        <v>155</v>
      </c>
      <c r="B568" s="84">
        <v>2150599</v>
      </c>
      <c r="C568" s="116" t="s">
        <v>627</v>
      </c>
      <c r="D568" s="86">
        <f>114+19+40</f>
        <v>173</v>
      </c>
      <c r="E568" s="86">
        <v>40</v>
      </c>
      <c r="F568" s="110">
        <v>18</v>
      </c>
      <c r="G568" s="87">
        <f t="shared" si="181"/>
        <v>45</v>
      </c>
      <c r="H568" s="111">
        <v>36</v>
      </c>
      <c r="I568" s="86">
        <f t="shared" si="182"/>
        <v>-18</v>
      </c>
      <c r="J568" s="87">
        <f t="shared" si="183"/>
        <v>-50</v>
      </c>
      <c r="K568" s="88">
        <v>50</v>
      </c>
      <c r="L568" s="88">
        <f t="shared" si="184"/>
        <v>-123</v>
      </c>
      <c r="M568" s="87">
        <f t="shared" si="185"/>
        <v>-71.0982658959538</v>
      </c>
      <c r="N568" s="100"/>
    </row>
    <row r="569" s="3" customFormat="1" spans="1:14">
      <c r="A569" s="83" t="s">
        <v>153</v>
      </c>
      <c r="B569" s="84">
        <v>21507</v>
      </c>
      <c r="C569" s="116" t="s">
        <v>628</v>
      </c>
      <c r="D569" s="86">
        <f t="shared" ref="D569:F569" si="207">SUM(D570:D570)</f>
        <v>0</v>
      </c>
      <c r="E569" s="86">
        <f t="shared" si="207"/>
        <v>0</v>
      </c>
      <c r="F569" s="19">
        <f t="shared" si="207"/>
        <v>0</v>
      </c>
      <c r="G569" s="87">
        <f t="shared" si="181"/>
        <v>0</v>
      </c>
      <c r="H569" s="88">
        <f t="shared" ref="H569:H573" si="208">SUM(H570:H570)</f>
        <v>0</v>
      </c>
      <c r="I569" s="86">
        <f t="shared" si="182"/>
        <v>0</v>
      </c>
      <c r="J569" s="87">
        <f t="shared" si="183"/>
        <v>0</v>
      </c>
      <c r="K569" s="88">
        <f t="shared" ref="K569:K573" si="209">SUM(K570:K570)</f>
        <v>0</v>
      </c>
      <c r="L569" s="88">
        <f t="shared" si="184"/>
        <v>0</v>
      </c>
      <c r="M569" s="87">
        <f t="shared" si="185"/>
        <v>0</v>
      </c>
      <c r="N569" s="100"/>
    </row>
    <row r="570" s="3" customFormat="1" spans="1:14">
      <c r="A570" s="83" t="s">
        <v>155</v>
      </c>
      <c r="B570" s="84">
        <v>2150799</v>
      </c>
      <c r="C570" s="116" t="s">
        <v>629</v>
      </c>
      <c r="D570" s="86"/>
      <c r="E570" s="86"/>
      <c r="F570" s="19"/>
      <c r="G570" s="87">
        <f t="shared" si="181"/>
        <v>0</v>
      </c>
      <c r="H570" s="88"/>
      <c r="I570" s="86">
        <f t="shared" si="182"/>
        <v>0</v>
      </c>
      <c r="J570" s="87">
        <f t="shared" si="183"/>
        <v>0</v>
      </c>
      <c r="K570" s="88"/>
      <c r="L570" s="88">
        <f t="shared" si="184"/>
        <v>0</v>
      </c>
      <c r="M570" s="87">
        <f t="shared" si="185"/>
        <v>0</v>
      </c>
      <c r="N570" s="100"/>
    </row>
    <row r="571" s="3" customFormat="1" spans="1:14">
      <c r="A571" s="83" t="s">
        <v>153</v>
      </c>
      <c r="B571" s="84">
        <v>21508</v>
      </c>
      <c r="C571" s="116" t="s">
        <v>630</v>
      </c>
      <c r="D571" s="86">
        <f t="shared" ref="D571:F571" si="210">SUM(D572:D572)</f>
        <v>0</v>
      </c>
      <c r="E571" s="86">
        <f t="shared" si="210"/>
        <v>0</v>
      </c>
      <c r="F571" s="19">
        <f t="shared" si="210"/>
        <v>4</v>
      </c>
      <c r="G571" s="87">
        <f t="shared" si="181"/>
        <v>0</v>
      </c>
      <c r="H571" s="88">
        <f t="shared" si="208"/>
        <v>0</v>
      </c>
      <c r="I571" s="86">
        <f t="shared" si="182"/>
        <v>4</v>
      </c>
      <c r="J571" s="87">
        <f t="shared" si="183"/>
        <v>0</v>
      </c>
      <c r="K571" s="88">
        <f t="shared" si="209"/>
        <v>0</v>
      </c>
      <c r="L571" s="88">
        <f t="shared" si="184"/>
        <v>0</v>
      </c>
      <c r="M571" s="87">
        <f t="shared" si="185"/>
        <v>0</v>
      </c>
      <c r="N571" s="100"/>
    </row>
    <row r="572" s="3" customFormat="1" spans="1:14">
      <c r="A572" s="83" t="s">
        <v>155</v>
      </c>
      <c r="B572" s="84">
        <v>2150899</v>
      </c>
      <c r="C572" s="116" t="s">
        <v>631</v>
      </c>
      <c r="D572" s="86"/>
      <c r="E572" s="86"/>
      <c r="F572" s="110">
        <v>4</v>
      </c>
      <c r="G572" s="87">
        <f t="shared" si="181"/>
        <v>0</v>
      </c>
      <c r="H572" s="111"/>
      <c r="I572" s="86">
        <f t="shared" si="182"/>
        <v>4</v>
      </c>
      <c r="J572" s="87">
        <f t="shared" si="183"/>
        <v>0</v>
      </c>
      <c r="K572" s="88"/>
      <c r="L572" s="88">
        <f t="shared" si="184"/>
        <v>0</v>
      </c>
      <c r="M572" s="87">
        <f t="shared" si="185"/>
        <v>0</v>
      </c>
      <c r="N572" s="100"/>
    </row>
    <row r="573" s="3" customFormat="1" spans="1:14">
      <c r="A573" s="83" t="s">
        <v>153</v>
      </c>
      <c r="B573" s="84">
        <v>21599</v>
      </c>
      <c r="C573" s="116" t="s">
        <v>632</v>
      </c>
      <c r="D573" s="86">
        <f t="shared" ref="D573:F573" si="211">SUM(D574:D574)</f>
        <v>0</v>
      </c>
      <c r="E573" s="86">
        <f t="shared" si="211"/>
        <v>0</v>
      </c>
      <c r="F573" s="19">
        <f t="shared" si="211"/>
        <v>17</v>
      </c>
      <c r="G573" s="87">
        <f t="shared" si="181"/>
        <v>0</v>
      </c>
      <c r="H573" s="88">
        <f t="shared" si="208"/>
        <v>6</v>
      </c>
      <c r="I573" s="86">
        <f t="shared" si="182"/>
        <v>11</v>
      </c>
      <c r="J573" s="87">
        <f t="shared" si="183"/>
        <v>183.333333333333</v>
      </c>
      <c r="K573" s="88">
        <f t="shared" si="209"/>
        <v>0</v>
      </c>
      <c r="L573" s="88">
        <f t="shared" si="184"/>
        <v>0</v>
      </c>
      <c r="M573" s="87">
        <f t="shared" si="185"/>
        <v>0</v>
      </c>
      <c r="N573" s="100"/>
    </row>
    <row r="574" s="3" customFormat="1" spans="1:14">
      <c r="A574" s="83" t="s">
        <v>155</v>
      </c>
      <c r="B574" s="84">
        <v>2159999</v>
      </c>
      <c r="C574" s="116" t="s">
        <v>633</v>
      </c>
      <c r="D574" s="86"/>
      <c r="E574" s="86"/>
      <c r="F574" s="110">
        <v>17</v>
      </c>
      <c r="G574" s="87">
        <f t="shared" si="181"/>
        <v>0</v>
      </c>
      <c r="H574" s="111">
        <v>6</v>
      </c>
      <c r="I574" s="86">
        <f t="shared" si="182"/>
        <v>11</v>
      </c>
      <c r="J574" s="87">
        <f t="shared" si="183"/>
        <v>183.333333333333</v>
      </c>
      <c r="K574" s="88"/>
      <c r="L574" s="88">
        <f t="shared" si="184"/>
        <v>0</v>
      </c>
      <c r="M574" s="87">
        <f t="shared" si="185"/>
        <v>0</v>
      </c>
      <c r="N574" s="100"/>
    </row>
    <row r="575" s="3" customFormat="1" spans="1:14">
      <c r="A575" s="83" t="s">
        <v>151</v>
      </c>
      <c r="B575" s="84">
        <v>216</v>
      </c>
      <c r="C575" s="116" t="s">
        <v>634</v>
      </c>
      <c r="D575" s="86">
        <f t="shared" ref="D575:F575" si="212">SUM(D576,D578,D580)</f>
        <v>10</v>
      </c>
      <c r="E575" s="86">
        <f t="shared" si="212"/>
        <v>10</v>
      </c>
      <c r="F575" s="86">
        <f t="shared" si="212"/>
        <v>0</v>
      </c>
      <c r="G575" s="87">
        <f t="shared" si="181"/>
        <v>0</v>
      </c>
      <c r="H575" s="88">
        <f>SUM(H576,H578,H580)</f>
        <v>70</v>
      </c>
      <c r="I575" s="86">
        <f t="shared" si="182"/>
        <v>-70</v>
      </c>
      <c r="J575" s="87">
        <f t="shared" si="183"/>
        <v>-100</v>
      </c>
      <c r="K575" s="88">
        <f>SUM(K576,K578,K580)</f>
        <v>10</v>
      </c>
      <c r="L575" s="88">
        <f t="shared" si="184"/>
        <v>0</v>
      </c>
      <c r="M575" s="87">
        <f t="shared" si="185"/>
        <v>0</v>
      </c>
      <c r="N575" s="100"/>
    </row>
    <row r="576" s="3" customFormat="1" spans="1:14">
      <c r="A576" s="83" t="s">
        <v>153</v>
      </c>
      <c r="B576" s="84">
        <v>21602</v>
      </c>
      <c r="C576" s="116" t="s">
        <v>635</v>
      </c>
      <c r="D576" s="86">
        <f t="shared" ref="D576:F576" si="213">SUM(D577:D577)</f>
        <v>0</v>
      </c>
      <c r="E576" s="86">
        <f t="shared" si="213"/>
        <v>0</v>
      </c>
      <c r="F576" s="19">
        <f t="shared" si="213"/>
        <v>0</v>
      </c>
      <c r="G576" s="87">
        <f t="shared" si="181"/>
        <v>0</v>
      </c>
      <c r="H576" s="88">
        <f t="shared" ref="H576:H580" si="214">SUM(H577:H577)</f>
        <v>70</v>
      </c>
      <c r="I576" s="86">
        <f t="shared" si="182"/>
        <v>-70</v>
      </c>
      <c r="J576" s="87">
        <f t="shared" si="183"/>
        <v>-100</v>
      </c>
      <c r="K576" s="88">
        <f t="shared" ref="K576:K580" si="215">SUM(K577:K577)</f>
        <v>0</v>
      </c>
      <c r="L576" s="88">
        <f t="shared" si="184"/>
        <v>0</v>
      </c>
      <c r="M576" s="87">
        <f t="shared" si="185"/>
        <v>0</v>
      </c>
      <c r="N576" s="100"/>
    </row>
    <row r="577" s="3" customFormat="1" spans="1:14">
      <c r="A577" s="83" t="s">
        <v>155</v>
      </c>
      <c r="B577" s="84">
        <v>2160299</v>
      </c>
      <c r="C577" s="116" t="s">
        <v>636</v>
      </c>
      <c r="D577" s="86"/>
      <c r="E577" s="86"/>
      <c r="F577" s="19"/>
      <c r="G577" s="87">
        <f t="shared" si="181"/>
        <v>0</v>
      </c>
      <c r="H577" s="88">
        <v>70</v>
      </c>
      <c r="I577" s="86">
        <f t="shared" si="182"/>
        <v>-70</v>
      </c>
      <c r="J577" s="87">
        <f t="shared" si="183"/>
        <v>-100</v>
      </c>
      <c r="K577" s="88"/>
      <c r="L577" s="88">
        <f t="shared" si="184"/>
        <v>0</v>
      </c>
      <c r="M577" s="87">
        <f t="shared" si="185"/>
        <v>0</v>
      </c>
      <c r="N577" s="100"/>
    </row>
    <row r="578" s="3" customFormat="1" spans="1:14">
      <c r="A578" s="83" t="s">
        <v>153</v>
      </c>
      <c r="B578" s="84">
        <v>21606</v>
      </c>
      <c r="C578" s="116" t="s">
        <v>637</v>
      </c>
      <c r="D578" s="86">
        <f t="shared" ref="D578:F578" si="216">SUM(D579:D579)</f>
        <v>0</v>
      </c>
      <c r="E578" s="86">
        <f t="shared" si="216"/>
        <v>0</v>
      </c>
      <c r="F578" s="19">
        <f t="shared" si="216"/>
        <v>0</v>
      </c>
      <c r="G578" s="87">
        <f t="shared" si="181"/>
        <v>0</v>
      </c>
      <c r="H578" s="88">
        <f t="shared" si="214"/>
        <v>0</v>
      </c>
      <c r="I578" s="86">
        <f t="shared" si="182"/>
        <v>0</v>
      </c>
      <c r="J578" s="87">
        <f t="shared" si="183"/>
        <v>0</v>
      </c>
      <c r="K578" s="88">
        <f t="shared" si="215"/>
        <v>0</v>
      </c>
      <c r="L578" s="88">
        <f t="shared" si="184"/>
        <v>0</v>
      </c>
      <c r="M578" s="87">
        <f t="shared" si="185"/>
        <v>0</v>
      </c>
      <c r="N578" s="100"/>
    </row>
    <row r="579" s="3" customFormat="1" spans="1:14">
      <c r="A579" s="83" t="s">
        <v>155</v>
      </c>
      <c r="B579" s="84">
        <v>2160699</v>
      </c>
      <c r="C579" s="116" t="s">
        <v>638</v>
      </c>
      <c r="D579" s="86"/>
      <c r="E579" s="86"/>
      <c r="F579" s="19"/>
      <c r="G579" s="87">
        <f t="shared" si="181"/>
        <v>0</v>
      </c>
      <c r="H579" s="88"/>
      <c r="I579" s="86">
        <f t="shared" si="182"/>
        <v>0</v>
      </c>
      <c r="J579" s="87">
        <f t="shared" si="183"/>
        <v>0</v>
      </c>
      <c r="K579" s="88"/>
      <c r="L579" s="88">
        <f t="shared" si="184"/>
        <v>0</v>
      </c>
      <c r="M579" s="87">
        <f t="shared" si="185"/>
        <v>0</v>
      </c>
      <c r="N579" s="100"/>
    </row>
    <row r="580" s="3" customFormat="1" spans="1:14">
      <c r="A580" s="83" t="s">
        <v>153</v>
      </c>
      <c r="B580" s="84">
        <v>21699</v>
      </c>
      <c r="C580" s="116" t="s">
        <v>639</v>
      </c>
      <c r="D580" s="86">
        <f t="shared" ref="D580:F580" si="217">SUM(D581:D581)</f>
        <v>10</v>
      </c>
      <c r="E580" s="86">
        <f t="shared" si="217"/>
        <v>10</v>
      </c>
      <c r="F580" s="19">
        <f t="shared" si="217"/>
        <v>0</v>
      </c>
      <c r="G580" s="87">
        <f t="shared" si="181"/>
        <v>0</v>
      </c>
      <c r="H580" s="88">
        <f t="shared" si="214"/>
        <v>0</v>
      </c>
      <c r="I580" s="86">
        <f t="shared" si="182"/>
        <v>0</v>
      </c>
      <c r="J580" s="87">
        <f t="shared" si="183"/>
        <v>0</v>
      </c>
      <c r="K580" s="88">
        <f t="shared" si="215"/>
        <v>10</v>
      </c>
      <c r="L580" s="88">
        <f t="shared" si="184"/>
        <v>0</v>
      </c>
      <c r="M580" s="87">
        <f t="shared" si="185"/>
        <v>0</v>
      </c>
      <c r="N580" s="100"/>
    </row>
    <row r="581" s="3" customFormat="1" spans="1:14">
      <c r="A581" s="83" t="s">
        <v>155</v>
      </c>
      <c r="B581" s="84">
        <v>2169999</v>
      </c>
      <c r="C581" s="116" t="s">
        <v>640</v>
      </c>
      <c r="D581" s="86">
        <v>10</v>
      </c>
      <c r="E581" s="86">
        <v>10</v>
      </c>
      <c r="F581" s="19"/>
      <c r="G581" s="87">
        <f t="shared" si="181"/>
        <v>0</v>
      </c>
      <c r="H581" s="88"/>
      <c r="I581" s="86">
        <f t="shared" si="182"/>
        <v>0</v>
      </c>
      <c r="J581" s="87">
        <f t="shared" si="183"/>
        <v>0</v>
      </c>
      <c r="K581" s="88">
        <v>10</v>
      </c>
      <c r="L581" s="88">
        <f t="shared" si="184"/>
        <v>0</v>
      </c>
      <c r="M581" s="87">
        <f t="shared" si="185"/>
        <v>0</v>
      </c>
      <c r="N581" s="100"/>
    </row>
    <row r="582" s="3" customFormat="1" spans="1:14">
      <c r="A582" s="83" t="s">
        <v>151</v>
      </c>
      <c r="B582" s="84">
        <v>217</v>
      </c>
      <c r="C582" s="116" t="s">
        <v>641</v>
      </c>
      <c r="D582" s="86">
        <f t="shared" ref="D582:F582" si="218">SUM(D583,D587,D590,D585)</f>
        <v>0</v>
      </c>
      <c r="E582" s="86">
        <f t="shared" si="218"/>
        <v>0</v>
      </c>
      <c r="F582" s="86">
        <f t="shared" si="218"/>
        <v>184</v>
      </c>
      <c r="G582" s="87">
        <f t="shared" si="181"/>
        <v>0</v>
      </c>
      <c r="H582" s="88">
        <f>SUM(H583,H587,H590,H585)</f>
        <v>0</v>
      </c>
      <c r="I582" s="86">
        <f t="shared" si="182"/>
        <v>184</v>
      </c>
      <c r="J582" s="87">
        <f t="shared" si="183"/>
        <v>0</v>
      </c>
      <c r="K582" s="88">
        <f>SUM(K583,K587,K590,K585)</f>
        <v>150</v>
      </c>
      <c r="L582" s="88">
        <f t="shared" si="184"/>
        <v>150</v>
      </c>
      <c r="M582" s="87">
        <f t="shared" si="185"/>
        <v>0</v>
      </c>
      <c r="N582" s="100"/>
    </row>
    <row r="583" s="3" customFormat="1" spans="1:14">
      <c r="A583" s="83" t="s">
        <v>153</v>
      </c>
      <c r="B583" s="84">
        <v>21701</v>
      </c>
      <c r="C583" s="116" t="s">
        <v>642</v>
      </c>
      <c r="D583" s="86">
        <f t="shared" ref="D583:F583" si="219">SUM(D584:D584)</f>
        <v>0</v>
      </c>
      <c r="E583" s="86">
        <f t="shared" si="219"/>
        <v>0</v>
      </c>
      <c r="F583" s="19">
        <f t="shared" si="219"/>
        <v>0</v>
      </c>
      <c r="G583" s="87">
        <f t="shared" ref="G583:G646" si="220">IF(E583=0,,F583/E583*100)</f>
        <v>0</v>
      </c>
      <c r="H583" s="88">
        <f>SUM(H584:H584)</f>
        <v>0</v>
      </c>
      <c r="I583" s="86">
        <f t="shared" ref="I583:I646" si="221">F583-H583</f>
        <v>0</v>
      </c>
      <c r="J583" s="87">
        <f t="shared" ref="J583:J646" si="222">IF(H583=0,,I583/H583*100)</f>
        <v>0</v>
      </c>
      <c r="K583" s="88">
        <f>SUM(K584:K584)</f>
        <v>0</v>
      </c>
      <c r="L583" s="88">
        <f t="shared" ref="L583:L646" si="223">K583-D583</f>
        <v>0</v>
      </c>
      <c r="M583" s="87">
        <f t="shared" ref="M583:M646" si="224">IF(D583=0,,L583/D583*100)</f>
        <v>0</v>
      </c>
      <c r="N583" s="100"/>
    </row>
    <row r="584" s="3" customFormat="1" spans="1:14">
      <c r="A584" s="83" t="s">
        <v>155</v>
      </c>
      <c r="B584" s="84">
        <v>2170199</v>
      </c>
      <c r="C584" s="116" t="s">
        <v>643</v>
      </c>
      <c r="D584" s="86"/>
      <c r="E584" s="86"/>
      <c r="F584" s="19"/>
      <c r="G584" s="87">
        <f t="shared" si="220"/>
        <v>0</v>
      </c>
      <c r="H584" s="88"/>
      <c r="I584" s="86">
        <f t="shared" si="221"/>
        <v>0</v>
      </c>
      <c r="J584" s="87">
        <f t="shared" si="222"/>
        <v>0</v>
      </c>
      <c r="K584" s="88"/>
      <c r="L584" s="88">
        <f t="shared" si="223"/>
        <v>0</v>
      </c>
      <c r="M584" s="87">
        <f t="shared" si="224"/>
        <v>0</v>
      </c>
      <c r="N584" s="100"/>
    </row>
    <row r="585" s="3" customFormat="1" spans="1:14">
      <c r="A585" s="83" t="s">
        <v>153</v>
      </c>
      <c r="B585" s="84">
        <v>21702</v>
      </c>
      <c r="C585" s="116" t="s">
        <v>644</v>
      </c>
      <c r="D585" s="86">
        <f t="shared" ref="D585:F585" si="225">SUM(D586:D586)</f>
        <v>0</v>
      </c>
      <c r="E585" s="86">
        <f t="shared" si="225"/>
        <v>0</v>
      </c>
      <c r="F585" s="19">
        <f t="shared" si="225"/>
        <v>0</v>
      </c>
      <c r="G585" s="87">
        <f t="shared" si="220"/>
        <v>0</v>
      </c>
      <c r="H585" s="88">
        <f>SUM(H586:H586)</f>
        <v>0</v>
      </c>
      <c r="I585" s="86">
        <f t="shared" si="221"/>
        <v>0</v>
      </c>
      <c r="J585" s="87">
        <f t="shared" si="222"/>
        <v>0</v>
      </c>
      <c r="K585" s="88">
        <f>SUM(K586:K586)</f>
        <v>0</v>
      </c>
      <c r="L585" s="88">
        <f t="shared" si="223"/>
        <v>0</v>
      </c>
      <c r="M585" s="87">
        <f t="shared" si="224"/>
        <v>0</v>
      </c>
      <c r="N585" s="100"/>
    </row>
    <row r="586" s="3" customFormat="1" spans="1:14">
      <c r="A586" s="83" t="s">
        <v>155</v>
      </c>
      <c r="B586" s="84">
        <v>2170299</v>
      </c>
      <c r="C586" s="119" t="s">
        <v>645</v>
      </c>
      <c r="D586" s="86"/>
      <c r="E586" s="86"/>
      <c r="F586" s="19"/>
      <c r="G586" s="87">
        <f t="shared" si="220"/>
        <v>0</v>
      </c>
      <c r="H586" s="88"/>
      <c r="I586" s="86">
        <f t="shared" si="221"/>
        <v>0</v>
      </c>
      <c r="J586" s="87">
        <f t="shared" si="222"/>
        <v>0</v>
      </c>
      <c r="K586" s="88"/>
      <c r="L586" s="88">
        <f t="shared" si="223"/>
        <v>0</v>
      </c>
      <c r="M586" s="87">
        <f t="shared" si="224"/>
        <v>0</v>
      </c>
      <c r="N586" s="100"/>
    </row>
    <row r="587" s="3" customFormat="1" spans="1:14">
      <c r="A587" s="83" t="s">
        <v>153</v>
      </c>
      <c r="B587" s="84">
        <v>21703</v>
      </c>
      <c r="C587" s="116" t="s">
        <v>646</v>
      </c>
      <c r="D587" s="86">
        <f t="shared" ref="D587:F587" si="226">SUM(D588:D589)</f>
        <v>0</v>
      </c>
      <c r="E587" s="86">
        <f t="shared" si="226"/>
        <v>0</v>
      </c>
      <c r="F587" s="92">
        <f t="shared" si="226"/>
        <v>174</v>
      </c>
      <c r="G587" s="87">
        <f t="shared" si="220"/>
        <v>0</v>
      </c>
      <c r="H587" s="86">
        <f>SUM(H588:H589)</f>
        <v>0</v>
      </c>
      <c r="I587" s="86">
        <f t="shared" si="221"/>
        <v>174</v>
      </c>
      <c r="J587" s="87">
        <f t="shared" si="222"/>
        <v>0</v>
      </c>
      <c r="K587" s="86">
        <f>SUM(K588:K589)</f>
        <v>150</v>
      </c>
      <c r="L587" s="88">
        <f t="shared" si="223"/>
        <v>150</v>
      </c>
      <c r="M587" s="87">
        <f t="shared" si="224"/>
        <v>0</v>
      </c>
      <c r="N587" s="100"/>
    </row>
    <row r="588" s="3" customFormat="1" spans="1:14">
      <c r="A588" s="83" t="s">
        <v>155</v>
      </c>
      <c r="B588" s="84">
        <v>2170302</v>
      </c>
      <c r="C588" s="116" t="s">
        <v>647</v>
      </c>
      <c r="D588" s="86"/>
      <c r="E588" s="86"/>
      <c r="F588" s="19">
        <v>79</v>
      </c>
      <c r="G588" s="87">
        <f t="shared" si="220"/>
        <v>0</v>
      </c>
      <c r="H588" s="88"/>
      <c r="I588" s="86">
        <f t="shared" si="221"/>
        <v>79</v>
      </c>
      <c r="J588" s="87">
        <f t="shared" si="222"/>
        <v>0</v>
      </c>
      <c r="K588" s="88">
        <v>150</v>
      </c>
      <c r="L588" s="88">
        <f t="shared" si="223"/>
        <v>150</v>
      </c>
      <c r="M588" s="87">
        <f t="shared" si="224"/>
        <v>0</v>
      </c>
      <c r="N588" s="100"/>
    </row>
    <row r="589" s="3" customFormat="1" spans="1:14">
      <c r="A589" s="83" t="s">
        <v>155</v>
      </c>
      <c r="B589" s="84">
        <v>2170399</v>
      </c>
      <c r="C589" s="116" t="s">
        <v>648</v>
      </c>
      <c r="D589" s="86"/>
      <c r="E589" s="86"/>
      <c r="F589" s="19">
        <v>95</v>
      </c>
      <c r="G589" s="87">
        <f t="shared" si="220"/>
        <v>0</v>
      </c>
      <c r="H589" s="88"/>
      <c r="I589" s="86">
        <f t="shared" si="221"/>
        <v>95</v>
      </c>
      <c r="J589" s="87">
        <f t="shared" si="222"/>
        <v>0</v>
      </c>
      <c r="K589" s="88"/>
      <c r="L589" s="88">
        <f t="shared" si="223"/>
        <v>0</v>
      </c>
      <c r="M589" s="87">
        <f t="shared" si="224"/>
        <v>0</v>
      </c>
      <c r="N589" s="100"/>
    </row>
    <row r="590" s="3" customFormat="1" spans="1:14">
      <c r="A590" s="83" t="s">
        <v>153</v>
      </c>
      <c r="B590" s="84">
        <v>21799</v>
      </c>
      <c r="C590" s="116" t="s">
        <v>649</v>
      </c>
      <c r="D590" s="86">
        <f t="shared" ref="D590:F590" si="227">D591</f>
        <v>0</v>
      </c>
      <c r="E590" s="86">
        <f t="shared" si="227"/>
        <v>0</v>
      </c>
      <c r="F590" s="92">
        <f t="shared" si="227"/>
        <v>10</v>
      </c>
      <c r="G590" s="87">
        <f t="shared" si="220"/>
        <v>0</v>
      </c>
      <c r="H590" s="86">
        <f>H591</f>
        <v>0</v>
      </c>
      <c r="I590" s="86">
        <f t="shared" si="221"/>
        <v>10</v>
      </c>
      <c r="J590" s="87">
        <f t="shared" si="222"/>
        <v>0</v>
      </c>
      <c r="K590" s="86">
        <f>K591</f>
        <v>0</v>
      </c>
      <c r="L590" s="88">
        <f t="shared" si="223"/>
        <v>0</v>
      </c>
      <c r="M590" s="87">
        <f t="shared" si="224"/>
        <v>0</v>
      </c>
      <c r="N590" s="100"/>
    </row>
    <row r="591" s="3" customFormat="1" spans="1:14">
      <c r="A591" s="83" t="s">
        <v>155</v>
      </c>
      <c r="B591" s="84">
        <v>2179902</v>
      </c>
      <c r="C591" s="116" t="s">
        <v>650</v>
      </c>
      <c r="D591" s="86"/>
      <c r="E591" s="86"/>
      <c r="F591" s="19">
        <v>10</v>
      </c>
      <c r="G591" s="87">
        <f t="shared" si="220"/>
        <v>0</v>
      </c>
      <c r="H591" s="88"/>
      <c r="I591" s="86">
        <f t="shared" si="221"/>
        <v>10</v>
      </c>
      <c r="J591" s="87">
        <f t="shared" si="222"/>
        <v>0</v>
      </c>
      <c r="K591" s="88"/>
      <c r="L591" s="88">
        <f t="shared" si="223"/>
        <v>0</v>
      </c>
      <c r="M591" s="87">
        <f t="shared" si="224"/>
        <v>0</v>
      </c>
      <c r="N591" s="100"/>
    </row>
    <row r="592" s="3" customFormat="1" spans="1:14">
      <c r="A592" s="83" t="s">
        <v>151</v>
      </c>
      <c r="B592" s="84">
        <v>219</v>
      </c>
      <c r="C592" s="116" t="s">
        <v>651</v>
      </c>
      <c r="D592" s="86">
        <f t="shared" ref="D592:F592" si="228">SUM(D593,D594,D595,D596,D597,D598,D599,D600,D601)</f>
        <v>0</v>
      </c>
      <c r="E592" s="86">
        <f t="shared" si="228"/>
        <v>0</v>
      </c>
      <c r="F592" s="86">
        <f t="shared" si="228"/>
        <v>0</v>
      </c>
      <c r="G592" s="87">
        <f t="shared" si="220"/>
        <v>0</v>
      </c>
      <c r="H592" s="88">
        <f>SUM(H593,H594,H595,H596,H597,H598,H599,H600,H601)</f>
        <v>0</v>
      </c>
      <c r="I592" s="86">
        <f t="shared" si="221"/>
        <v>0</v>
      </c>
      <c r="J592" s="87">
        <f t="shared" si="222"/>
        <v>0</v>
      </c>
      <c r="K592" s="88">
        <f>SUM(K593,K594,K595,K596,K597,K598,K599,K600,K601)</f>
        <v>0</v>
      </c>
      <c r="L592" s="88">
        <f t="shared" si="223"/>
        <v>0</v>
      </c>
      <c r="M592" s="87">
        <f t="shared" si="224"/>
        <v>0</v>
      </c>
      <c r="N592" s="100"/>
    </row>
    <row r="593" s="3" customFormat="1" hidden="1" spans="1:14">
      <c r="A593" s="83" t="s">
        <v>153</v>
      </c>
      <c r="B593" s="84">
        <v>21901</v>
      </c>
      <c r="C593" s="116" t="s">
        <v>652</v>
      </c>
      <c r="D593" s="86"/>
      <c r="E593" s="86"/>
      <c r="F593" s="19"/>
      <c r="G593" s="87">
        <f t="shared" si="220"/>
        <v>0</v>
      </c>
      <c r="H593" s="88"/>
      <c r="I593" s="86">
        <f t="shared" si="221"/>
        <v>0</v>
      </c>
      <c r="J593" s="87">
        <f t="shared" si="222"/>
        <v>0</v>
      </c>
      <c r="K593" s="88"/>
      <c r="L593" s="88">
        <f t="shared" si="223"/>
        <v>0</v>
      </c>
      <c r="M593" s="87">
        <f t="shared" si="224"/>
        <v>0</v>
      </c>
      <c r="N593" s="100"/>
    </row>
    <row r="594" s="3" customFormat="1" hidden="1" spans="1:14">
      <c r="A594" s="83" t="s">
        <v>153</v>
      </c>
      <c r="B594" s="84">
        <v>21902</v>
      </c>
      <c r="C594" s="116" t="s">
        <v>653</v>
      </c>
      <c r="D594" s="86"/>
      <c r="E594" s="86"/>
      <c r="F594" s="19"/>
      <c r="G594" s="87">
        <f t="shared" si="220"/>
        <v>0</v>
      </c>
      <c r="H594" s="88"/>
      <c r="I594" s="86">
        <f t="shared" si="221"/>
        <v>0</v>
      </c>
      <c r="J594" s="87">
        <f t="shared" si="222"/>
        <v>0</v>
      </c>
      <c r="K594" s="88"/>
      <c r="L594" s="88">
        <f t="shared" si="223"/>
        <v>0</v>
      </c>
      <c r="M594" s="87">
        <f t="shared" si="224"/>
        <v>0</v>
      </c>
      <c r="N594" s="100"/>
    </row>
    <row r="595" s="3" customFormat="1" hidden="1" spans="1:14">
      <c r="A595" s="83" t="s">
        <v>153</v>
      </c>
      <c r="B595" s="84">
        <v>21903</v>
      </c>
      <c r="C595" s="116" t="s">
        <v>654</v>
      </c>
      <c r="D595" s="86"/>
      <c r="E595" s="86"/>
      <c r="F595" s="19"/>
      <c r="G595" s="87">
        <f t="shared" si="220"/>
        <v>0</v>
      </c>
      <c r="H595" s="88"/>
      <c r="I595" s="86">
        <f t="shared" si="221"/>
        <v>0</v>
      </c>
      <c r="J595" s="87">
        <f t="shared" si="222"/>
        <v>0</v>
      </c>
      <c r="K595" s="88"/>
      <c r="L595" s="88">
        <f t="shared" si="223"/>
        <v>0</v>
      </c>
      <c r="M595" s="87">
        <f t="shared" si="224"/>
        <v>0</v>
      </c>
      <c r="N595" s="100"/>
    </row>
    <row r="596" s="3" customFormat="1" hidden="1" spans="1:14">
      <c r="A596" s="83" t="s">
        <v>153</v>
      </c>
      <c r="B596" s="84">
        <v>21904</v>
      </c>
      <c r="C596" s="116" t="s">
        <v>655</v>
      </c>
      <c r="D596" s="86"/>
      <c r="E596" s="86"/>
      <c r="F596" s="19"/>
      <c r="G596" s="87">
        <f t="shared" si="220"/>
        <v>0</v>
      </c>
      <c r="H596" s="88"/>
      <c r="I596" s="86">
        <f t="shared" si="221"/>
        <v>0</v>
      </c>
      <c r="J596" s="87">
        <f t="shared" si="222"/>
        <v>0</v>
      </c>
      <c r="K596" s="88"/>
      <c r="L596" s="88">
        <f t="shared" si="223"/>
        <v>0</v>
      </c>
      <c r="M596" s="87">
        <f t="shared" si="224"/>
        <v>0</v>
      </c>
      <c r="N596" s="100"/>
    </row>
    <row r="597" s="3" customFormat="1" hidden="1" spans="1:14">
      <c r="A597" s="83" t="s">
        <v>153</v>
      </c>
      <c r="B597" s="84">
        <v>21905</v>
      </c>
      <c r="C597" s="116" t="s">
        <v>656</v>
      </c>
      <c r="D597" s="86"/>
      <c r="E597" s="86"/>
      <c r="F597" s="19"/>
      <c r="G597" s="87">
        <f t="shared" si="220"/>
        <v>0</v>
      </c>
      <c r="H597" s="88"/>
      <c r="I597" s="86">
        <f t="shared" si="221"/>
        <v>0</v>
      </c>
      <c r="J597" s="87">
        <f t="shared" si="222"/>
        <v>0</v>
      </c>
      <c r="K597" s="88"/>
      <c r="L597" s="88">
        <f t="shared" si="223"/>
        <v>0</v>
      </c>
      <c r="M597" s="87">
        <f t="shared" si="224"/>
        <v>0</v>
      </c>
      <c r="N597" s="100"/>
    </row>
    <row r="598" s="3" customFormat="1" hidden="1" spans="1:14">
      <c r="A598" s="83" t="s">
        <v>153</v>
      </c>
      <c r="B598" s="84">
        <v>21906</v>
      </c>
      <c r="C598" s="116" t="s">
        <v>657</v>
      </c>
      <c r="D598" s="86"/>
      <c r="E598" s="86"/>
      <c r="F598" s="19"/>
      <c r="G598" s="87">
        <f t="shared" si="220"/>
        <v>0</v>
      </c>
      <c r="H598" s="88"/>
      <c r="I598" s="86">
        <f t="shared" si="221"/>
        <v>0</v>
      </c>
      <c r="J598" s="87">
        <f t="shared" si="222"/>
        <v>0</v>
      </c>
      <c r="K598" s="88"/>
      <c r="L598" s="88">
        <f t="shared" si="223"/>
        <v>0</v>
      </c>
      <c r="M598" s="87">
        <f t="shared" si="224"/>
        <v>0</v>
      </c>
      <c r="N598" s="100"/>
    </row>
    <row r="599" s="3" customFormat="1" hidden="1" spans="1:14">
      <c r="A599" s="83" t="s">
        <v>153</v>
      </c>
      <c r="B599" s="84">
        <v>21907</v>
      </c>
      <c r="C599" s="116" t="s">
        <v>658</v>
      </c>
      <c r="D599" s="86"/>
      <c r="E599" s="86"/>
      <c r="F599" s="19"/>
      <c r="G599" s="87">
        <f t="shared" si="220"/>
        <v>0</v>
      </c>
      <c r="H599" s="88"/>
      <c r="I599" s="86">
        <f t="shared" si="221"/>
        <v>0</v>
      </c>
      <c r="J599" s="87">
        <f t="shared" si="222"/>
        <v>0</v>
      </c>
      <c r="K599" s="88"/>
      <c r="L599" s="88">
        <f t="shared" si="223"/>
        <v>0</v>
      </c>
      <c r="M599" s="87">
        <f t="shared" si="224"/>
        <v>0</v>
      </c>
      <c r="N599" s="100"/>
    </row>
    <row r="600" s="3" customFormat="1" hidden="1" spans="1:14">
      <c r="A600" s="83" t="s">
        <v>153</v>
      </c>
      <c r="B600" s="84">
        <v>21908</v>
      </c>
      <c r="C600" s="116" t="s">
        <v>659</v>
      </c>
      <c r="D600" s="86"/>
      <c r="E600" s="86"/>
      <c r="F600" s="19"/>
      <c r="G600" s="87">
        <f t="shared" si="220"/>
        <v>0</v>
      </c>
      <c r="H600" s="88"/>
      <c r="I600" s="86">
        <f t="shared" si="221"/>
        <v>0</v>
      </c>
      <c r="J600" s="87">
        <f t="shared" si="222"/>
        <v>0</v>
      </c>
      <c r="K600" s="88"/>
      <c r="L600" s="88">
        <f t="shared" si="223"/>
        <v>0</v>
      </c>
      <c r="M600" s="87">
        <f t="shared" si="224"/>
        <v>0</v>
      </c>
      <c r="N600" s="100"/>
    </row>
    <row r="601" s="3" customFormat="1" hidden="1" spans="1:14">
      <c r="A601" s="83" t="s">
        <v>153</v>
      </c>
      <c r="B601" s="84">
        <v>21999</v>
      </c>
      <c r="C601" s="116" t="s">
        <v>660</v>
      </c>
      <c r="D601" s="86"/>
      <c r="E601" s="86"/>
      <c r="F601" s="19"/>
      <c r="G601" s="87">
        <f t="shared" si="220"/>
        <v>0</v>
      </c>
      <c r="H601" s="88"/>
      <c r="I601" s="86">
        <f t="shared" si="221"/>
        <v>0</v>
      </c>
      <c r="J601" s="87">
        <f t="shared" si="222"/>
        <v>0</v>
      </c>
      <c r="K601" s="88"/>
      <c r="L601" s="88">
        <f t="shared" si="223"/>
        <v>0</v>
      </c>
      <c r="M601" s="87">
        <f t="shared" si="224"/>
        <v>0</v>
      </c>
      <c r="N601" s="100"/>
    </row>
    <row r="602" s="3" customFormat="1" spans="1:14">
      <c r="A602" s="83" t="s">
        <v>151</v>
      </c>
      <c r="B602" s="84">
        <v>220</v>
      </c>
      <c r="C602" s="116" t="s">
        <v>661</v>
      </c>
      <c r="D602" s="86">
        <f t="shared" ref="D602:F602" si="229">D603+D610+D612</f>
        <v>68</v>
      </c>
      <c r="E602" s="86">
        <f t="shared" si="229"/>
        <v>68</v>
      </c>
      <c r="F602" s="86">
        <f t="shared" si="229"/>
        <v>101</v>
      </c>
      <c r="G602" s="87">
        <f t="shared" si="220"/>
        <v>148.529411764706</v>
      </c>
      <c r="H602" s="88">
        <f>H603+H610+H612</f>
        <v>408</v>
      </c>
      <c r="I602" s="86">
        <f t="shared" si="221"/>
        <v>-307</v>
      </c>
      <c r="J602" s="87">
        <f t="shared" si="222"/>
        <v>-75.2450980392157</v>
      </c>
      <c r="K602" s="88">
        <f>K603+K610+K612</f>
        <v>0</v>
      </c>
      <c r="L602" s="88">
        <f t="shared" si="223"/>
        <v>-68</v>
      </c>
      <c r="M602" s="87">
        <f t="shared" si="224"/>
        <v>-100</v>
      </c>
      <c r="N602" s="100"/>
    </row>
    <row r="603" s="3" customFormat="1" spans="1:14">
      <c r="A603" s="83" t="s">
        <v>153</v>
      </c>
      <c r="B603" s="84">
        <v>22001</v>
      </c>
      <c r="C603" s="116" t="s">
        <v>662</v>
      </c>
      <c r="D603" s="86">
        <f t="shared" ref="D603:F603" si="230">SUM(D604:D609)</f>
        <v>68</v>
      </c>
      <c r="E603" s="86">
        <f t="shared" si="230"/>
        <v>68</v>
      </c>
      <c r="F603" s="19">
        <f t="shared" si="230"/>
        <v>101</v>
      </c>
      <c r="G603" s="87">
        <f t="shared" si="220"/>
        <v>148.529411764706</v>
      </c>
      <c r="H603" s="88">
        <f>SUM(H604:H609)</f>
        <v>408</v>
      </c>
      <c r="I603" s="86">
        <f t="shared" si="221"/>
        <v>-307</v>
      </c>
      <c r="J603" s="87">
        <f t="shared" si="222"/>
        <v>-75.2450980392157</v>
      </c>
      <c r="K603" s="88">
        <f>SUM(K604:K609)</f>
        <v>0</v>
      </c>
      <c r="L603" s="88">
        <f t="shared" si="223"/>
        <v>-68</v>
      </c>
      <c r="M603" s="87">
        <f t="shared" si="224"/>
        <v>-100</v>
      </c>
      <c r="N603" s="100"/>
    </row>
    <row r="604" s="3" customFormat="1" spans="1:14">
      <c r="A604" s="83" t="s">
        <v>155</v>
      </c>
      <c r="B604" s="84">
        <v>2200101</v>
      </c>
      <c r="C604" s="116" t="s">
        <v>519</v>
      </c>
      <c r="D604" s="86"/>
      <c r="E604" s="86">
        <v>68</v>
      </c>
      <c r="F604" s="110">
        <v>101</v>
      </c>
      <c r="G604" s="87">
        <f t="shared" si="220"/>
        <v>148.529411764706</v>
      </c>
      <c r="H604" s="111">
        <v>407</v>
      </c>
      <c r="I604" s="86">
        <f t="shared" si="221"/>
        <v>-306</v>
      </c>
      <c r="J604" s="87">
        <f t="shared" si="222"/>
        <v>-75.1842751842752</v>
      </c>
      <c r="K604" s="88"/>
      <c r="L604" s="88">
        <f t="shared" si="223"/>
        <v>0</v>
      </c>
      <c r="M604" s="87">
        <f t="shared" si="224"/>
        <v>0</v>
      </c>
      <c r="N604" s="100"/>
    </row>
    <row r="605" s="3" customFormat="1" spans="1:14">
      <c r="A605" s="83" t="s">
        <v>155</v>
      </c>
      <c r="B605" s="84">
        <v>2200102</v>
      </c>
      <c r="C605" s="116" t="s">
        <v>520</v>
      </c>
      <c r="D605" s="86">
        <v>68</v>
      </c>
      <c r="E605" s="86"/>
      <c r="F605" s="19"/>
      <c r="G605" s="87">
        <f t="shared" si="220"/>
        <v>0</v>
      </c>
      <c r="H605" s="88"/>
      <c r="I605" s="86">
        <f t="shared" si="221"/>
        <v>0</v>
      </c>
      <c r="J605" s="87">
        <f t="shared" si="222"/>
        <v>0</v>
      </c>
      <c r="K605" s="88"/>
      <c r="L605" s="88">
        <f t="shared" si="223"/>
        <v>-68</v>
      </c>
      <c r="M605" s="87">
        <f t="shared" si="224"/>
        <v>-100</v>
      </c>
      <c r="N605" s="100"/>
    </row>
    <row r="606" s="3" customFormat="1" hidden="1" spans="1:14">
      <c r="A606" s="83" t="s">
        <v>155</v>
      </c>
      <c r="B606" s="84">
        <v>2200106</v>
      </c>
      <c r="C606" s="116" t="s">
        <v>663</v>
      </c>
      <c r="D606" s="86"/>
      <c r="E606" s="86"/>
      <c r="F606" s="19"/>
      <c r="G606" s="87">
        <f t="shared" si="220"/>
        <v>0</v>
      </c>
      <c r="H606" s="88"/>
      <c r="I606" s="86">
        <f t="shared" si="221"/>
        <v>0</v>
      </c>
      <c r="J606" s="87">
        <f t="shared" si="222"/>
        <v>0</v>
      </c>
      <c r="K606" s="88"/>
      <c r="L606" s="88">
        <f t="shared" si="223"/>
        <v>0</v>
      </c>
      <c r="M606" s="87">
        <f t="shared" si="224"/>
        <v>0</v>
      </c>
      <c r="N606" s="100"/>
    </row>
    <row r="607" s="3" customFormat="1" hidden="1" spans="1:14">
      <c r="A607" s="83" t="s">
        <v>155</v>
      </c>
      <c r="B607" s="84">
        <v>2200109</v>
      </c>
      <c r="C607" s="116" t="s">
        <v>664</v>
      </c>
      <c r="D607" s="86"/>
      <c r="E607" s="86"/>
      <c r="F607" s="19"/>
      <c r="G607" s="87">
        <f t="shared" si="220"/>
        <v>0</v>
      </c>
      <c r="H607" s="88"/>
      <c r="I607" s="86">
        <f t="shared" si="221"/>
        <v>0</v>
      </c>
      <c r="J607" s="87">
        <f t="shared" si="222"/>
        <v>0</v>
      </c>
      <c r="K607" s="88"/>
      <c r="L607" s="88">
        <f t="shared" si="223"/>
        <v>0</v>
      </c>
      <c r="M607" s="87">
        <f t="shared" si="224"/>
        <v>0</v>
      </c>
      <c r="N607" s="100"/>
    </row>
    <row r="608" s="3" customFormat="1" hidden="1" spans="1:14">
      <c r="A608" s="83" t="s">
        <v>155</v>
      </c>
      <c r="B608" s="84">
        <v>2200112</v>
      </c>
      <c r="C608" s="116" t="s">
        <v>665</v>
      </c>
      <c r="D608" s="86"/>
      <c r="E608" s="86"/>
      <c r="F608" s="19"/>
      <c r="G608" s="87">
        <f t="shared" si="220"/>
        <v>0</v>
      </c>
      <c r="H608" s="88"/>
      <c r="I608" s="86">
        <f t="shared" si="221"/>
        <v>0</v>
      </c>
      <c r="J608" s="87">
        <f t="shared" si="222"/>
        <v>0</v>
      </c>
      <c r="K608" s="88"/>
      <c r="L608" s="88">
        <f t="shared" si="223"/>
        <v>0</v>
      </c>
      <c r="M608" s="87">
        <f t="shared" si="224"/>
        <v>0</v>
      </c>
      <c r="N608" s="100"/>
    </row>
    <row r="609" s="3" customFormat="1" spans="1:14">
      <c r="A609" s="83" t="s">
        <v>155</v>
      </c>
      <c r="B609" s="84">
        <v>2200199</v>
      </c>
      <c r="C609" s="116" t="s">
        <v>666</v>
      </c>
      <c r="D609" s="86"/>
      <c r="E609" s="86"/>
      <c r="F609" s="19"/>
      <c r="G609" s="87">
        <f t="shared" si="220"/>
        <v>0</v>
      </c>
      <c r="H609" s="88">
        <v>1</v>
      </c>
      <c r="I609" s="86">
        <f t="shared" si="221"/>
        <v>-1</v>
      </c>
      <c r="J609" s="87">
        <f t="shared" si="222"/>
        <v>-100</v>
      </c>
      <c r="K609" s="88"/>
      <c r="L609" s="88">
        <f t="shared" si="223"/>
        <v>0</v>
      </c>
      <c r="M609" s="87">
        <f t="shared" si="224"/>
        <v>0</v>
      </c>
      <c r="N609" s="100"/>
    </row>
    <row r="610" s="3" customFormat="1" spans="1:14">
      <c r="A610" s="83" t="s">
        <v>153</v>
      </c>
      <c r="B610" s="84">
        <v>22005</v>
      </c>
      <c r="C610" s="116" t="s">
        <v>667</v>
      </c>
      <c r="D610" s="86">
        <f t="shared" ref="D610:F610" si="231">SUM(D611:D611)</f>
        <v>0</v>
      </c>
      <c r="E610" s="86">
        <f t="shared" si="231"/>
        <v>0</v>
      </c>
      <c r="F610" s="19">
        <f t="shared" si="231"/>
        <v>0</v>
      </c>
      <c r="G610" s="87">
        <f t="shared" si="220"/>
        <v>0</v>
      </c>
      <c r="H610" s="88">
        <f>SUM(H611:H611)</f>
        <v>0</v>
      </c>
      <c r="I610" s="86">
        <f t="shared" si="221"/>
        <v>0</v>
      </c>
      <c r="J610" s="87">
        <f t="shared" si="222"/>
        <v>0</v>
      </c>
      <c r="K610" s="88">
        <f>SUM(K611:K611)</f>
        <v>0</v>
      </c>
      <c r="L610" s="88">
        <f t="shared" si="223"/>
        <v>0</v>
      </c>
      <c r="M610" s="87">
        <f t="shared" si="224"/>
        <v>0</v>
      </c>
      <c r="N610" s="100"/>
    </row>
    <row r="611" s="3" customFormat="1" hidden="1" spans="1:14">
      <c r="A611" s="83" t="s">
        <v>155</v>
      </c>
      <c r="B611" s="84">
        <v>2200599</v>
      </c>
      <c r="C611" s="116" t="s">
        <v>668</v>
      </c>
      <c r="D611" s="86"/>
      <c r="E611" s="86"/>
      <c r="F611" s="19"/>
      <c r="G611" s="87">
        <f t="shared" si="220"/>
        <v>0</v>
      </c>
      <c r="H611" s="88"/>
      <c r="I611" s="86">
        <f t="shared" si="221"/>
        <v>0</v>
      </c>
      <c r="J611" s="87">
        <f t="shared" si="222"/>
        <v>0</v>
      </c>
      <c r="K611" s="88"/>
      <c r="L611" s="88">
        <f t="shared" si="223"/>
        <v>0</v>
      </c>
      <c r="M611" s="87">
        <f t="shared" si="224"/>
        <v>0</v>
      </c>
      <c r="N611" s="100"/>
    </row>
    <row r="612" s="3" customFormat="1" spans="1:14">
      <c r="A612" s="83" t="s">
        <v>153</v>
      </c>
      <c r="B612" s="84">
        <v>22099</v>
      </c>
      <c r="C612" s="116" t="s">
        <v>669</v>
      </c>
      <c r="D612" s="86"/>
      <c r="E612" s="86"/>
      <c r="F612" s="19"/>
      <c r="G612" s="87">
        <f t="shared" si="220"/>
        <v>0</v>
      </c>
      <c r="H612" s="88"/>
      <c r="I612" s="86">
        <f t="shared" si="221"/>
        <v>0</v>
      </c>
      <c r="J612" s="87">
        <f t="shared" si="222"/>
        <v>0</v>
      </c>
      <c r="K612" s="88"/>
      <c r="L612" s="88">
        <f t="shared" si="223"/>
        <v>0</v>
      </c>
      <c r="M612" s="87">
        <f t="shared" si="224"/>
        <v>0</v>
      </c>
      <c r="N612" s="100"/>
    </row>
    <row r="613" s="3" customFormat="1" spans="1:14">
      <c r="A613" s="83" t="s">
        <v>151</v>
      </c>
      <c r="B613" s="84">
        <v>221</v>
      </c>
      <c r="C613" s="116" t="s">
        <v>670</v>
      </c>
      <c r="D613" s="86">
        <f t="shared" ref="D613:F613" si="232">SUM(D614,D616,D618)</f>
        <v>1415</v>
      </c>
      <c r="E613" s="86">
        <f t="shared" si="232"/>
        <v>1415</v>
      </c>
      <c r="F613" s="86">
        <f t="shared" si="232"/>
        <v>1222</v>
      </c>
      <c r="G613" s="87">
        <f t="shared" si="220"/>
        <v>86.3604240282686</v>
      </c>
      <c r="H613" s="88">
        <f>SUM(H614,H616,H618)</f>
        <v>1051</v>
      </c>
      <c r="I613" s="86">
        <f t="shared" si="221"/>
        <v>171</v>
      </c>
      <c r="J613" s="87">
        <f t="shared" si="222"/>
        <v>16.2702188392008</v>
      </c>
      <c r="K613" s="88">
        <f>SUM(K614,K616,K618)</f>
        <v>1699</v>
      </c>
      <c r="L613" s="88">
        <f t="shared" si="223"/>
        <v>284</v>
      </c>
      <c r="M613" s="87">
        <f t="shared" si="224"/>
        <v>20.0706713780919</v>
      </c>
      <c r="N613" s="100"/>
    </row>
    <row r="614" s="3" customFormat="1" spans="1:14">
      <c r="A614" s="83" t="s">
        <v>153</v>
      </c>
      <c r="B614" s="84">
        <v>22101</v>
      </c>
      <c r="C614" s="116" t="s">
        <v>671</v>
      </c>
      <c r="D614" s="86">
        <f t="shared" ref="D614:F614" si="233">SUM(D615:D615)</f>
        <v>29</v>
      </c>
      <c r="E614" s="86">
        <f t="shared" si="233"/>
        <v>29</v>
      </c>
      <c r="F614" s="19">
        <f t="shared" si="233"/>
        <v>26</v>
      </c>
      <c r="G614" s="87">
        <f t="shared" si="220"/>
        <v>89.6551724137931</v>
      </c>
      <c r="H614" s="88">
        <f t="shared" ref="H614:H618" si="234">SUM(H615:H615)</f>
        <v>105</v>
      </c>
      <c r="I614" s="86">
        <f t="shared" si="221"/>
        <v>-79</v>
      </c>
      <c r="J614" s="87">
        <f t="shared" si="222"/>
        <v>-75.2380952380952</v>
      </c>
      <c r="K614" s="88">
        <f t="shared" ref="K614:K618" si="235">SUM(K615:K615)</f>
        <v>3</v>
      </c>
      <c r="L614" s="88">
        <f t="shared" si="223"/>
        <v>-26</v>
      </c>
      <c r="M614" s="87">
        <f t="shared" si="224"/>
        <v>-89.6551724137931</v>
      </c>
      <c r="N614" s="100"/>
    </row>
    <row r="615" s="3" customFormat="1" spans="1:14">
      <c r="A615" s="83" t="s">
        <v>155</v>
      </c>
      <c r="B615" s="84">
        <v>2210105</v>
      </c>
      <c r="C615" s="116" t="s">
        <v>672</v>
      </c>
      <c r="D615" s="86">
        <f>26+3</f>
        <v>29</v>
      </c>
      <c r="E615" s="86">
        <f>26+3</f>
        <v>29</v>
      </c>
      <c r="F615" s="110">
        <v>26</v>
      </c>
      <c r="G615" s="87">
        <f t="shared" si="220"/>
        <v>89.6551724137931</v>
      </c>
      <c r="H615" s="111">
        <v>105</v>
      </c>
      <c r="I615" s="86">
        <f t="shared" si="221"/>
        <v>-79</v>
      </c>
      <c r="J615" s="87">
        <f t="shared" si="222"/>
        <v>-75.2380952380952</v>
      </c>
      <c r="K615" s="88">
        <v>3</v>
      </c>
      <c r="L615" s="88">
        <f t="shared" si="223"/>
        <v>-26</v>
      </c>
      <c r="M615" s="87">
        <f t="shared" si="224"/>
        <v>-89.6551724137931</v>
      </c>
      <c r="N615" s="100"/>
    </row>
    <row r="616" s="3" customFormat="1" spans="1:14">
      <c r="A616" s="83" t="s">
        <v>153</v>
      </c>
      <c r="B616" s="84">
        <v>22102</v>
      </c>
      <c r="C616" s="116" t="s">
        <v>673</v>
      </c>
      <c r="D616" s="86">
        <f t="shared" ref="D616:F616" si="236">SUM(D617:D617)</f>
        <v>1386</v>
      </c>
      <c r="E616" s="86">
        <f t="shared" si="236"/>
        <v>1386</v>
      </c>
      <c r="F616" s="19">
        <f t="shared" si="236"/>
        <v>1196</v>
      </c>
      <c r="G616" s="87">
        <f t="shared" si="220"/>
        <v>86.2914862914863</v>
      </c>
      <c r="H616" s="88">
        <f t="shared" si="234"/>
        <v>896</v>
      </c>
      <c r="I616" s="86">
        <f t="shared" si="221"/>
        <v>300</v>
      </c>
      <c r="J616" s="87">
        <f t="shared" si="222"/>
        <v>33.4821428571429</v>
      </c>
      <c r="K616" s="88">
        <f t="shared" si="235"/>
        <v>1696</v>
      </c>
      <c r="L616" s="88">
        <f t="shared" si="223"/>
        <v>310</v>
      </c>
      <c r="M616" s="87">
        <f t="shared" si="224"/>
        <v>22.3665223665224</v>
      </c>
      <c r="N616" s="100"/>
    </row>
    <row r="617" s="3" customFormat="1" spans="1:14">
      <c r="A617" s="83" t="s">
        <v>155</v>
      </c>
      <c r="B617" s="84">
        <v>2210201</v>
      </c>
      <c r="C617" s="116" t="s">
        <v>674</v>
      </c>
      <c r="D617" s="86">
        <v>1386</v>
      </c>
      <c r="E617" s="86">
        <v>1386</v>
      </c>
      <c r="F617" s="110">
        <v>1196</v>
      </c>
      <c r="G617" s="87">
        <f t="shared" si="220"/>
        <v>86.2914862914863</v>
      </c>
      <c r="H617" s="111">
        <v>896</v>
      </c>
      <c r="I617" s="86">
        <f t="shared" si="221"/>
        <v>300</v>
      </c>
      <c r="J617" s="87">
        <f t="shared" si="222"/>
        <v>33.4821428571429</v>
      </c>
      <c r="K617" s="88">
        <v>1696</v>
      </c>
      <c r="L617" s="88">
        <f t="shared" si="223"/>
        <v>310</v>
      </c>
      <c r="M617" s="87">
        <f t="shared" si="224"/>
        <v>22.3665223665224</v>
      </c>
      <c r="N617" s="100"/>
    </row>
    <row r="618" s="3" customFormat="1" spans="1:14">
      <c r="A618" s="83" t="s">
        <v>153</v>
      </c>
      <c r="B618" s="84">
        <v>22103</v>
      </c>
      <c r="C618" s="116" t="s">
        <v>675</v>
      </c>
      <c r="D618" s="86">
        <f t="shared" ref="D618:F618" si="237">SUM(D619:D619)</f>
        <v>0</v>
      </c>
      <c r="E618" s="86">
        <f t="shared" si="237"/>
        <v>0</v>
      </c>
      <c r="F618" s="19">
        <f t="shared" si="237"/>
        <v>0</v>
      </c>
      <c r="G618" s="87">
        <f t="shared" si="220"/>
        <v>0</v>
      </c>
      <c r="H618" s="88">
        <f t="shared" si="234"/>
        <v>50</v>
      </c>
      <c r="I618" s="86">
        <f t="shared" si="221"/>
        <v>-50</v>
      </c>
      <c r="J618" s="87">
        <f t="shared" si="222"/>
        <v>-100</v>
      </c>
      <c r="K618" s="88">
        <f t="shared" si="235"/>
        <v>0</v>
      </c>
      <c r="L618" s="88">
        <f t="shared" si="223"/>
        <v>0</v>
      </c>
      <c r="M618" s="87">
        <f t="shared" si="224"/>
        <v>0</v>
      </c>
      <c r="N618" s="100"/>
    </row>
    <row r="619" s="3" customFormat="1" spans="1:14">
      <c r="A619" s="83" t="s">
        <v>155</v>
      </c>
      <c r="B619" s="84">
        <v>2210399</v>
      </c>
      <c r="C619" s="116" t="s">
        <v>676</v>
      </c>
      <c r="D619" s="86"/>
      <c r="E619" s="86"/>
      <c r="F619" s="19"/>
      <c r="G619" s="87">
        <f t="shared" si="220"/>
        <v>0</v>
      </c>
      <c r="H619" s="88">
        <v>50</v>
      </c>
      <c r="I619" s="86">
        <f t="shared" si="221"/>
        <v>-50</v>
      </c>
      <c r="J619" s="87">
        <f t="shared" si="222"/>
        <v>-100</v>
      </c>
      <c r="K619" s="88"/>
      <c r="L619" s="88">
        <f t="shared" si="223"/>
        <v>0</v>
      </c>
      <c r="M619" s="87">
        <f t="shared" si="224"/>
        <v>0</v>
      </c>
      <c r="N619" s="100"/>
    </row>
    <row r="620" s="3" customFormat="1" spans="1:14">
      <c r="A620" s="83" t="s">
        <v>151</v>
      </c>
      <c r="B620" s="84">
        <v>222</v>
      </c>
      <c r="C620" s="116" t="s">
        <v>677</v>
      </c>
      <c r="D620" s="86">
        <f t="shared" ref="D620:F620" si="238">SUM(D621,D623,D625,D627,D629)</f>
        <v>1</v>
      </c>
      <c r="E620" s="86">
        <f t="shared" si="238"/>
        <v>1</v>
      </c>
      <c r="F620" s="86">
        <f t="shared" si="238"/>
        <v>0</v>
      </c>
      <c r="G620" s="87">
        <f t="shared" si="220"/>
        <v>0</v>
      </c>
      <c r="H620" s="88">
        <f>SUM(H621,H623,H625,H627,H629)</f>
        <v>0</v>
      </c>
      <c r="I620" s="86">
        <f t="shared" si="221"/>
        <v>0</v>
      </c>
      <c r="J620" s="87">
        <f t="shared" si="222"/>
        <v>0</v>
      </c>
      <c r="K620" s="88">
        <f>SUM(K621,K623,K625,K627,K629)</f>
        <v>0</v>
      </c>
      <c r="L620" s="88">
        <f t="shared" si="223"/>
        <v>-1</v>
      </c>
      <c r="M620" s="87">
        <f t="shared" si="224"/>
        <v>-100</v>
      </c>
      <c r="N620" s="100"/>
    </row>
    <row r="621" s="3" customFormat="1" spans="1:14">
      <c r="A621" s="83" t="s">
        <v>153</v>
      </c>
      <c r="B621" s="84">
        <v>22201</v>
      </c>
      <c r="C621" s="116" t="s">
        <v>678</v>
      </c>
      <c r="D621" s="86">
        <f t="shared" ref="D621:F621" si="239">SUM(D622:D622)</f>
        <v>0</v>
      </c>
      <c r="E621" s="86">
        <f t="shared" si="239"/>
        <v>0</v>
      </c>
      <c r="F621" s="19">
        <f t="shared" si="239"/>
        <v>0</v>
      </c>
      <c r="G621" s="87">
        <f t="shared" si="220"/>
        <v>0</v>
      </c>
      <c r="H621" s="88">
        <f t="shared" ref="H621:H625" si="240">SUM(H622:H622)</f>
        <v>0</v>
      </c>
      <c r="I621" s="86">
        <f t="shared" si="221"/>
        <v>0</v>
      </c>
      <c r="J621" s="87">
        <f t="shared" si="222"/>
        <v>0</v>
      </c>
      <c r="K621" s="88">
        <f t="shared" ref="K621:K625" si="241">SUM(K622:K622)</f>
        <v>0</v>
      </c>
      <c r="L621" s="88">
        <f t="shared" si="223"/>
        <v>0</v>
      </c>
      <c r="M621" s="87">
        <f t="shared" si="224"/>
        <v>0</v>
      </c>
      <c r="N621" s="100"/>
    </row>
    <row r="622" s="3" customFormat="1" spans="1:14">
      <c r="A622" s="83" t="s">
        <v>155</v>
      </c>
      <c r="B622" s="84">
        <v>2220209</v>
      </c>
      <c r="C622" s="116" t="s">
        <v>679</v>
      </c>
      <c r="D622" s="86"/>
      <c r="E622" s="86"/>
      <c r="F622" s="19"/>
      <c r="G622" s="87">
        <f t="shared" si="220"/>
        <v>0</v>
      </c>
      <c r="H622" s="88"/>
      <c r="I622" s="86">
        <f t="shared" si="221"/>
        <v>0</v>
      </c>
      <c r="J622" s="87">
        <f t="shared" si="222"/>
        <v>0</v>
      </c>
      <c r="K622" s="88"/>
      <c r="L622" s="88">
        <f t="shared" si="223"/>
        <v>0</v>
      </c>
      <c r="M622" s="87">
        <f t="shared" si="224"/>
        <v>0</v>
      </c>
      <c r="N622" s="100"/>
    </row>
    <row r="623" s="3" customFormat="1" spans="1:14">
      <c r="A623" s="83" t="s">
        <v>153</v>
      </c>
      <c r="B623" s="84">
        <v>22202</v>
      </c>
      <c r="C623" s="116" t="s">
        <v>680</v>
      </c>
      <c r="D623" s="86">
        <f t="shared" ref="D623:F623" si="242">SUM(D624:D624)</f>
        <v>0</v>
      </c>
      <c r="E623" s="86">
        <f t="shared" si="242"/>
        <v>0</v>
      </c>
      <c r="F623" s="19">
        <f t="shared" si="242"/>
        <v>0</v>
      </c>
      <c r="G623" s="87">
        <f t="shared" si="220"/>
        <v>0</v>
      </c>
      <c r="H623" s="88">
        <f t="shared" si="240"/>
        <v>0</v>
      </c>
      <c r="I623" s="86">
        <f t="shared" si="221"/>
        <v>0</v>
      </c>
      <c r="J623" s="87">
        <f t="shared" si="222"/>
        <v>0</v>
      </c>
      <c r="K623" s="88">
        <f t="shared" si="241"/>
        <v>0</v>
      </c>
      <c r="L623" s="88">
        <f t="shared" si="223"/>
        <v>0</v>
      </c>
      <c r="M623" s="87">
        <f t="shared" si="224"/>
        <v>0</v>
      </c>
      <c r="N623" s="100"/>
    </row>
    <row r="624" s="3" customFormat="1" spans="1:14">
      <c r="A624" s="83" t="s">
        <v>155</v>
      </c>
      <c r="B624" s="84">
        <v>2220299</v>
      </c>
      <c r="C624" s="116" t="s">
        <v>681</v>
      </c>
      <c r="D624" s="86"/>
      <c r="E624" s="86"/>
      <c r="F624" s="19"/>
      <c r="G624" s="87">
        <f t="shared" si="220"/>
        <v>0</v>
      </c>
      <c r="H624" s="88"/>
      <c r="I624" s="86">
        <f t="shared" si="221"/>
        <v>0</v>
      </c>
      <c r="J624" s="87">
        <f t="shared" si="222"/>
        <v>0</v>
      </c>
      <c r="K624" s="88"/>
      <c r="L624" s="88">
        <f t="shared" si="223"/>
        <v>0</v>
      </c>
      <c r="M624" s="87">
        <f t="shared" si="224"/>
        <v>0</v>
      </c>
      <c r="N624" s="100"/>
    </row>
    <row r="625" s="3" customFormat="1" spans="1:14">
      <c r="A625" s="83" t="s">
        <v>153</v>
      </c>
      <c r="B625" s="84">
        <v>22203</v>
      </c>
      <c r="C625" s="116" t="s">
        <v>682</v>
      </c>
      <c r="D625" s="86">
        <f t="shared" ref="D625:F625" si="243">SUM(D626:D626)</f>
        <v>0</v>
      </c>
      <c r="E625" s="86">
        <f t="shared" si="243"/>
        <v>0</v>
      </c>
      <c r="F625" s="19">
        <f t="shared" si="243"/>
        <v>0</v>
      </c>
      <c r="G625" s="87">
        <f t="shared" si="220"/>
        <v>0</v>
      </c>
      <c r="H625" s="88">
        <f t="shared" si="240"/>
        <v>0</v>
      </c>
      <c r="I625" s="86">
        <f t="shared" si="221"/>
        <v>0</v>
      </c>
      <c r="J625" s="87">
        <f t="shared" si="222"/>
        <v>0</v>
      </c>
      <c r="K625" s="88">
        <f t="shared" si="241"/>
        <v>0</v>
      </c>
      <c r="L625" s="88">
        <f t="shared" si="223"/>
        <v>0</v>
      </c>
      <c r="M625" s="87">
        <f t="shared" si="224"/>
        <v>0</v>
      </c>
      <c r="N625" s="100"/>
    </row>
    <row r="626" s="3" customFormat="1" spans="1:14">
      <c r="A626" s="83" t="s">
        <v>155</v>
      </c>
      <c r="B626" s="84">
        <v>2220399</v>
      </c>
      <c r="C626" s="116" t="s">
        <v>683</v>
      </c>
      <c r="D626" s="86"/>
      <c r="E626" s="86"/>
      <c r="F626" s="19"/>
      <c r="G626" s="87">
        <f t="shared" si="220"/>
        <v>0</v>
      </c>
      <c r="H626" s="88"/>
      <c r="I626" s="86">
        <f t="shared" si="221"/>
        <v>0</v>
      </c>
      <c r="J626" s="87">
        <f t="shared" si="222"/>
        <v>0</v>
      </c>
      <c r="K626" s="88"/>
      <c r="L626" s="88">
        <f t="shared" si="223"/>
        <v>0</v>
      </c>
      <c r="M626" s="87">
        <f t="shared" si="224"/>
        <v>0</v>
      </c>
      <c r="N626" s="100"/>
    </row>
    <row r="627" s="3" customFormat="1" spans="1:14">
      <c r="A627" s="83" t="s">
        <v>153</v>
      </c>
      <c r="B627" s="84">
        <v>22204</v>
      </c>
      <c r="C627" s="116" t="s">
        <v>684</v>
      </c>
      <c r="D627" s="86">
        <f t="shared" ref="D627:F627" si="244">SUM(D628:D628)</f>
        <v>0</v>
      </c>
      <c r="E627" s="86">
        <f t="shared" si="244"/>
        <v>0</v>
      </c>
      <c r="F627" s="19">
        <f t="shared" si="244"/>
        <v>0</v>
      </c>
      <c r="G627" s="87">
        <f t="shared" si="220"/>
        <v>0</v>
      </c>
      <c r="H627" s="88">
        <f>SUM(H628:H628)</f>
        <v>0</v>
      </c>
      <c r="I627" s="86">
        <f t="shared" si="221"/>
        <v>0</v>
      </c>
      <c r="J627" s="87">
        <f t="shared" si="222"/>
        <v>0</v>
      </c>
      <c r="K627" s="88">
        <f>SUM(K628:K628)</f>
        <v>0</v>
      </c>
      <c r="L627" s="88">
        <f t="shared" si="223"/>
        <v>0</v>
      </c>
      <c r="M627" s="87">
        <f t="shared" si="224"/>
        <v>0</v>
      </c>
      <c r="N627" s="100"/>
    </row>
    <row r="628" s="3" customFormat="1" spans="1:14">
      <c r="A628" s="83" t="s">
        <v>155</v>
      </c>
      <c r="B628" s="84">
        <v>2220499</v>
      </c>
      <c r="C628" s="116" t="s">
        <v>685</v>
      </c>
      <c r="D628" s="86"/>
      <c r="E628" s="86"/>
      <c r="F628" s="19"/>
      <c r="G628" s="87">
        <f t="shared" si="220"/>
        <v>0</v>
      </c>
      <c r="H628" s="88"/>
      <c r="I628" s="86">
        <f t="shared" si="221"/>
        <v>0</v>
      </c>
      <c r="J628" s="87">
        <f t="shared" si="222"/>
        <v>0</v>
      </c>
      <c r="K628" s="88"/>
      <c r="L628" s="88">
        <f t="shared" si="223"/>
        <v>0</v>
      </c>
      <c r="M628" s="87">
        <f t="shared" si="224"/>
        <v>0</v>
      </c>
      <c r="N628" s="100"/>
    </row>
    <row r="629" s="3" customFormat="1" spans="1:14">
      <c r="A629" s="83" t="s">
        <v>153</v>
      </c>
      <c r="B629" s="84">
        <v>22205</v>
      </c>
      <c r="C629" s="116" t="s">
        <v>686</v>
      </c>
      <c r="D629" s="86">
        <f t="shared" ref="D629:F629" si="245">SUM(D630:D630)</f>
        <v>1</v>
      </c>
      <c r="E629" s="86">
        <f t="shared" si="245"/>
        <v>1</v>
      </c>
      <c r="F629" s="19">
        <f t="shared" si="245"/>
        <v>0</v>
      </c>
      <c r="G629" s="87">
        <f t="shared" si="220"/>
        <v>0</v>
      </c>
      <c r="H629" s="88">
        <f>SUM(H630:H630)</f>
        <v>0</v>
      </c>
      <c r="I629" s="86">
        <f t="shared" si="221"/>
        <v>0</v>
      </c>
      <c r="J629" s="87">
        <f t="shared" si="222"/>
        <v>0</v>
      </c>
      <c r="K629" s="88">
        <f>SUM(K630:K630)</f>
        <v>0</v>
      </c>
      <c r="L629" s="88">
        <f t="shared" si="223"/>
        <v>-1</v>
      </c>
      <c r="M629" s="87">
        <f t="shared" si="224"/>
        <v>-100</v>
      </c>
      <c r="N629" s="100"/>
    </row>
    <row r="630" s="3" customFormat="1" spans="1:14">
      <c r="A630" s="83" t="s">
        <v>155</v>
      </c>
      <c r="B630" s="84">
        <v>2220599</v>
      </c>
      <c r="C630" s="116" t="s">
        <v>687</v>
      </c>
      <c r="D630" s="86">
        <v>1</v>
      </c>
      <c r="E630" s="86">
        <v>1</v>
      </c>
      <c r="F630" s="19"/>
      <c r="G630" s="87">
        <f t="shared" si="220"/>
        <v>0</v>
      </c>
      <c r="H630" s="88"/>
      <c r="I630" s="86">
        <f t="shared" si="221"/>
        <v>0</v>
      </c>
      <c r="J630" s="87">
        <f t="shared" si="222"/>
        <v>0</v>
      </c>
      <c r="K630" s="88"/>
      <c r="L630" s="88">
        <f t="shared" si="223"/>
        <v>-1</v>
      </c>
      <c r="M630" s="87">
        <f t="shared" si="224"/>
        <v>-100</v>
      </c>
      <c r="N630" s="100"/>
    </row>
    <row r="631" s="3" customFormat="1" spans="1:14">
      <c r="A631" s="83" t="s">
        <v>151</v>
      </c>
      <c r="B631" s="84">
        <v>224</v>
      </c>
      <c r="C631" s="116" t="s">
        <v>688</v>
      </c>
      <c r="D631" s="86">
        <f t="shared" ref="D631:F631" si="246">SUM(D632,D641,D646,D649,D651,D653,D655,D661)</f>
        <v>720</v>
      </c>
      <c r="E631" s="86">
        <f t="shared" si="246"/>
        <v>720</v>
      </c>
      <c r="F631" s="86">
        <f t="shared" si="246"/>
        <v>1324</v>
      </c>
      <c r="G631" s="87">
        <f t="shared" si="220"/>
        <v>183.888888888889</v>
      </c>
      <c r="H631" s="88">
        <f>SUM(H632,H641,H646,H649,H651,H653,H655,H661)</f>
        <v>549</v>
      </c>
      <c r="I631" s="86">
        <f t="shared" si="221"/>
        <v>775</v>
      </c>
      <c r="J631" s="87">
        <f t="shared" si="222"/>
        <v>141.165755919854</v>
      </c>
      <c r="K631" s="88">
        <f>SUM(K632,K641,K646,K649,K651,K653,K655,K661)</f>
        <v>340</v>
      </c>
      <c r="L631" s="88">
        <f t="shared" si="223"/>
        <v>-380</v>
      </c>
      <c r="M631" s="87">
        <f t="shared" si="224"/>
        <v>-52.7777777777778</v>
      </c>
      <c r="N631" s="100"/>
    </row>
    <row r="632" s="3" customFormat="1" spans="1:14">
      <c r="A632" s="83" t="s">
        <v>153</v>
      </c>
      <c r="B632" s="84">
        <v>22401</v>
      </c>
      <c r="C632" s="116" t="s">
        <v>689</v>
      </c>
      <c r="D632" s="86">
        <f t="shared" ref="D632:F632" si="247">SUM(D633:D640)</f>
        <v>96</v>
      </c>
      <c r="E632" s="86">
        <f t="shared" si="247"/>
        <v>96</v>
      </c>
      <c r="F632" s="86">
        <f t="shared" si="247"/>
        <v>172</v>
      </c>
      <c r="G632" s="87">
        <f t="shared" si="220"/>
        <v>179.166666666667</v>
      </c>
      <c r="H632" s="88">
        <f>SUM(H633:H640)</f>
        <v>179</v>
      </c>
      <c r="I632" s="86">
        <f t="shared" si="221"/>
        <v>-7</v>
      </c>
      <c r="J632" s="87">
        <f t="shared" si="222"/>
        <v>-3.91061452513966</v>
      </c>
      <c r="K632" s="88">
        <f>SUM(K633:K640)</f>
        <v>140</v>
      </c>
      <c r="L632" s="88">
        <f t="shared" si="223"/>
        <v>44</v>
      </c>
      <c r="M632" s="87">
        <f t="shared" si="224"/>
        <v>45.8333333333333</v>
      </c>
      <c r="N632" s="100"/>
    </row>
    <row r="633" s="3" customFormat="1" spans="1:14">
      <c r="A633" s="83" t="s">
        <v>155</v>
      </c>
      <c r="B633" s="84">
        <v>2240101</v>
      </c>
      <c r="C633" s="116" t="s">
        <v>690</v>
      </c>
      <c r="D633" s="86">
        <v>62</v>
      </c>
      <c r="E633" s="86">
        <v>62</v>
      </c>
      <c r="F633" s="114">
        <v>93</v>
      </c>
      <c r="G633" s="87">
        <f t="shared" si="220"/>
        <v>150</v>
      </c>
      <c r="H633" s="111">
        <v>75</v>
      </c>
      <c r="I633" s="86">
        <f t="shared" si="221"/>
        <v>18</v>
      </c>
      <c r="J633" s="87">
        <f t="shared" si="222"/>
        <v>24</v>
      </c>
      <c r="K633" s="88">
        <v>95</v>
      </c>
      <c r="L633" s="88">
        <f t="shared" si="223"/>
        <v>33</v>
      </c>
      <c r="M633" s="87">
        <f t="shared" si="224"/>
        <v>53.2258064516129</v>
      </c>
      <c r="N633" s="100"/>
    </row>
    <row r="634" s="3" customFormat="1" spans="1:14">
      <c r="A634" s="83" t="s">
        <v>155</v>
      </c>
      <c r="B634" s="84">
        <v>2240102</v>
      </c>
      <c r="C634" s="116" t="s">
        <v>691</v>
      </c>
      <c r="D634" s="86">
        <v>16</v>
      </c>
      <c r="E634" s="86">
        <v>16</v>
      </c>
      <c r="F634" s="114">
        <v>19</v>
      </c>
      <c r="G634" s="87">
        <f t="shared" si="220"/>
        <v>118.75</v>
      </c>
      <c r="H634" s="111">
        <v>29</v>
      </c>
      <c r="I634" s="86">
        <f t="shared" si="221"/>
        <v>-10</v>
      </c>
      <c r="J634" s="87">
        <f t="shared" si="222"/>
        <v>-34.4827586206897</v>
      </c>
      <c r="K634" s="88"/>
      <c r="L634" s="88">
        <f t="shared" si="223"/>
        <v>-16</v>
      </c>
      <c r="M634" s="87">
        <f t="shared" si="224"/>
        <v>-100</v>
      </c>
      <c r="N634" s="100"/>
    </row>
    <row r="635" s="3" customFormat="1" spans="1:14">
      <c r="A635" s="83" t="s">
        <v>155</v>
      </c>
      <c r="B635" s="84">
        <v>2240103</v>
      </c>
      <c r="C635" s="116" t="s">
        <v>692</v>
      </c>
      <c r="D635" s="86"/>
      <c r="E635" s="86"/>
      <c r="F635" s="114">
        <v>3</v>
      </c>
      <c r="G635" s="87">
        <f t="shared" si="220"/>
        <v>0</v>
      </c>
      <c r="H635" s="111"/>
      <c r="I635" s="86">
        <f t="shared" si="221"/>
        <v>3</v>
      </c>
      <c r="J635" s="87">
        <f t="shared" si="222"/>
        <v>0</v>
      </c>
      <c r="K635" s="88"/>
      <c r="L635" s="88">
        <f t="shared" si="223"/>
        <v>0</v>
      </c>
      <c r="M635" s="87">
        <f t="shared" si="224"/>
        <v>0</v>
      </c>
      <c r="N635" s="100"/>
    </row>
    <row r="636" s="3" customFormat="1" spans="1:14">
      <c r="A636" s="83" t="s">
        <v>155</v>
      </c>
      <c r="B636" s="84">
        <v>2240106</v>
      </c>
      <c r="C636" s="116" t="s">
        <v>693</v>
      </c>
      <c r="D636" s="86"/>
      <c r="E636" s="86"/>
      <c r="F636" s="114">
        <v>3</v>
      </c>
      <c r="G636" s="87">
        <f t="shared" si="220"/>
        <v>0</v>
      </c>
      <c r="H636" s="111"/>
      <c r="I636" s="86">
        <f t="shared" si="221"/>
        <v>3</v>
      </c>
      <c r="J636" s="87">
        <f t="shared" si="222"/>
        <v>0</v>
      </c>
      <c r="K636" s="88"/>
      <c r="L636" s="88">
        <f t="shared" si="223"/>
        <v>0</v>
      </c>
      <c r="M636" s="87">
        <f t="shared" si="224"/>
        <v>0</v>
      </c>
      <c r="N636" s="100"/>
    </row>
    <row r="637" s="3" customFormat="1" spans="1:14">
      <c r="A637" s="83" t="s">
        <v>155</v>
      </c>
      <c r="B637" s="84">
        <v>2240107</v>
      </c>
      <c r="C637" s="116" t="s">
        <v>694</v>
      </c>
      <c r="D637" s="86"/>
      <c r="E637" s="86"/>
      <c r="F637" s="114"/>
      <c r="G637" s="87">
        <f t="shared" si="220"/>
        <v>0</v>
      </c>
      <c r="H637" s="111"/>
      <c r="I637" s="86">
        <f t="shared" si="221"/>
        <v>0</v>
      </c>
      <c r="J637" s="87">
        <f t="shared" si="222"/>
        <v>0</v>
      </c>
      <c r="K637" s="88"/>
      <c r="L637" s="88">
        <f t="shared" si="223"/>
        <v>0</v>
      </c>
      <c r="M637" s="87">
        <f t="shared" si="224"/>
        <v>0</v>
      </c>
      <c r="N637" s="100"/>
    </row>
    <row r="638" s="3" customFormat="1" spans="1:14">
      <c r="A638" s="83" t="s">
        <v>155</v>
      </c>
      <c r="B638" s="84">
        <v>2240109</v>
      </c>
      <c r="C638" s="116" t="s">
        <v>695</v>
      </c>
      <c r="D638" s="86"/>
      <c r="E638" s="86"/>
      <c r="F638" s="114"/>
      <c r="G638" s="87">
        <f t="shared" si="220"/>
        <v>0</v>
      </c>
      <c r="H638" s="111">
        <v>10</v>
      </c>
      <c r="I638" s="86">
        <f t="shared" si="221"/>
        <v>-10</v>
      </c>
      <c r="J638" s="87">
        <f t="shared" si="222"/>
        <v>-100</v>
      </c>
      <c r="K638" s="88"/>
      <c r="L638" s="88">
        <f t="shared" si="223"/>
        <v>0</v>
      </c>
      <c r="M638" s="87">
        <f t="shared" si="224"/>
        <v>0</v>
      </c>
      <c r="N638" s="100"/>
    </row>
    <row r="639" s="3" customFormat="1" spans="1:14">
      <c r="A639" s="83" t="s">
        <v>155</v>
      </c>
      <c r="B639" s="84">
        <v>2240150</v>
      </c>
      <c r="C639" s="116" t="s">
        <v>696</v>
      </c>
      <c r="D639" s="86"/>
      <c r="E639" s="86"/>
      <c r="F639" s="114"/>
      <c r="G639" s="87">
        <f t="shared" si="220"/>
        <v>0</v>
      </c>
      <c r="H639" s="111"/>
      <c r="I639" s="86">
        <f t="shared" si="221"/>
        <v>0</v>
      </c>
      <c r="J639" s="87">
        <f t="shared" si="222"/>
        <v>0</v>
      </c>
      <c r="K639" s="88">
        <v>7</v>
      </c>
      <c r="L639" s="88">
        <f t="shared" si="223"/>
        <v>7</v>
      </c>
      <c r="M639" s="87">
        <f t="shared" si="224"/>
        <v>0</v>
      </c>
      <c r="N639" s="100"/>
    </row>
    <row r="640" s="3" customFormat="1" spans="1:14">
      <c r="A640" s="83" t="s">
        <v>155</v>
      </c>
      <c r="B640" s="84">
        <v>2240199</v>
      </c>
      <c r="C640" s="116" t="s">
        <v>697</v>
      </c>
      <c r="D640" s="86">
        <f>4+14</f>
        <v>18</v>
      </c>
      <c r="E640" s="86">
        <f>4+14</f>
        <v>18</v>
      </c>
      <c r="F640" s="114">
        <v>54</v>
      </c>
      <c r="G640" s="87">
        <f t="shared" si="220"/>
        <v>300</v>
      </c>
      <c r="H640" s="111">
        <v>65</v>
      </c>
      <c r="I640" s="86">
        <f t="shared" si="221"/>
        <v>-11</v>
      </c>
      <c r="J640" s="87">
        <f t="shared" si="222"/>
        <v>-16.9230769230769</v>
      </c>
      <c r="K640" s="88">
        <f>30+8</f>
        <v>38</v>
      </c>
      <c r="L640" s="88">
        <f t="shared" si="223"/>
        <v>20</v>
      </c>
      <c r="M640" s="87">
        <f t="shared" si="224"/>
        <v>111.111111111111</v>
      </c>
      <c r="N640" s="100"/>
    </row>
    <row r="641" s="3" customFormat="1" spans="1:14">
      <c r="A641" s="83" t="s">
        <v>153</v>
      </c>
      <c r="B641" s="84">
        <v>22402</v>
      </c>
      <c r="C641" s="116" t="s">
        <v>698</v>
      </c>
      <c r="D641" s="86">
        <f t="shared" ref="D641:F641" si="248">SUM(D642:D645)</f>
        <v>311</v>
      </c>
      <c r="E641" s="86">
        <f t="shared" si="248"/>
        <v>311</v>
      </c>
      <c r="F641" s="86">
        <f t="shared" si="248"/>
        <v>311</v>
      </c>
      <c r="G641" s="87">
        <f t="shared" si="220"/>
        <v>100</v>
      </c>
      <c r="H641" s="86">
        <f>SUM(H642:H645)</f>
        <v>259</v>
      </c>
      <c r="I641" s="86">
        <f t="shared" si="221"/>
        <v>52</v>
      </c>
      <c r="J641" s="87">
        <f t="shared" si="222"/>
        <v>20.0772200772201</v>
      </c>
      <c r="K641" s="86">
        <f>SUM(K642:K645)</f>
        <v>200</v>
      </c>
      <c r="L641" s="88">
        <f t="shared" si="223"/>
        <v>-111</v>
      </c>
      <c r="M641" s="87">
        <f t="shared" si="224"/>
        <v>-35.6913183279743</v>
      </c>
      <c r="N641" s="100"/>
    </row>
    <row r="642" s="3" customFormat="1" spans="1:14">
      <c r="A642" s="83" t="s">
        <v>155</v>
      </c>
      <c r="B642" s="84">
        <v>2240201</v>
      </c>
      <c r="C642" s="116" t="s">
        <v>690</v>
      </c>
      <c r="D642" s="86"/>
      <c r="E642" s="86"/>
      <c r="F642" s="86"/>
      <c r="G642" s="87">
        <f t="shared" si="220"/>
        <v>0</v>
      </c>
      <c r="H642" s="86">
        <v>87</v>
      </c>
      <c r="I642" s="86">
        <f t="shared" si="221"/>
        <v>-87</v>
      </c>
      <c r="J642" s="87">
        <f t="shared" si="222"/>
        <v>-100</v>
      </c>
      <c r="K642" s="86">
        <v>200</v>
      </c>
      <c r="L642" s="88">
        <f t="shared" si="223"/>
        <v>200</v>
      </c>
      <c r="M642" s="87">
        <f t="shared" si="224"/>
        <v>0</v>
      </c>
      <c r="N642" s="100"/>
    </row>
    <row r="643" s="3" customFormat="1" spans="1:14">
      <c r="A643" s="83" t="s">
        <v>155</v>
      </c>
      <c r="B643" s="84">
        <v>2240202</v>
      </c>
      <c r="C643" s="116" t="s">
        <v>691</v>
      </c>
      <c r="D643" s="86"/>
      <c r="E643" s="86">
        <v>60</v>
      </c>
      <c r="F643" s="86">
        <v>59</v>
      </c>
      <c r="G643" s="87">
        <f t="shared" si="220"/>
        <v>98.3333333333333</v>
      </c>
      <c r="H643" s="88"/>
      <c r="I643" s="86">
        <f t="shared" si="221"/>
        <v>59</v>
      </c>
      <c r="J643" s="87">
        <f t="shared" si="222"/>
        <v>0</v>
      </c>
      <c r="K643" s="88"/>
      <c r="L643" s="88">
        <f t="shared" si="223"/>
        <v>0</v>
      </c>
      <c r="M643" s="87">
        <f t="shared" si="224"/>
        <v>0</v>
      </c>
      <c r="N643" s="100"/>
    </row>
    <row r="644" s="3" customFormat="1" spans="1:14">
      <c r="A644" s="83" t="s">
        <v>155</v>
      </c>
      <c r="B644" s="84">
        <v>2240204</v>
      </c>
      <c r="C644" s="116" t="s">
        <v>699</v>
      </c>
      <c r="D644" s="86">
        <v>90</v>
      </c>
      <c r="E644" s="86">
        <v>30</v>
      </c>
      <c r="F644" s="86">
        <v>2</v>
      </c>
      <c r="G644" s="87">
        <f t="shared" si="220"/>
        <v>6.66666666666667</v>
      </c>
      <c r="H644" s="88"/>
      <c r="I644" s="86">
        <f t="shared" si="221"/>
        <v>2</v>
      </c>
      <c r="J644" s="87">
        <f t="shared" si="222"/>
        <v>0</v>
      </c>
      <c r="K644" s="88"/>
      <c r="L644" s="88">
        <f t="shared" si="223"/>
        <v>-90</v>
      </c>
      <c r="M644" s="87">
        <f t="shared" si="224"/>
        <v>-100</v>
      </c>
      <c r="N644" s="100"/>
    </row>
    <row r="645" s="3" customFormat="1" spans="1:14">
      <c r="A645" s="83" t="s">
        <v>155</v>
      </c>
      <c r="B645" s="84">
        <v>2240299</v>
      </c>
      <c r="C645" s="116" t="s">
        <v>700</v>
      </c>
      <c r="D645" s="86">
        <f>190+31</f>
        <v>221</v>
      </c>
      <c r="E645" s="86">
        <f>190+31</f>
        <v>221</v>
      </c>
      <c r="F645" s="114">
        <v>250</v>
      </c>
      <c r="G645" s="87">
        <f t="shared" si="220"/>
        <v>113.122171945701</v>
      </c>
      <c r="H645" s="111">
        <v>172</v>
      </c>
      <c r="I645" s="86">
        <f t="shared" si="221"/>
        <v>78</v>
      </c>
      <c r="J645" s="87">
        <f t="shared" si="222"/>
        <v>45.3488372093023</v>
      </c>
      <c r="K645" s="88"/>
      <c r="L645" s="88">
        <f t="shared" si="223"/>
        <v>-221</v>
      </c>
      <c r="M645" s="87">
        <f t="shared" si="224"/>
        <v>-100</v>
      </c>
      <c r="N645" s="100"/>
    </row>
    <row r="646" s="3" customFormat="1" spans="1:14">
      <c r="A646" s="83" t="s">
        <v>153</v>
      </c>
      <c r="B646" s="84">
        <v>22403</v>
      </c>
      <c r="C646" s="116" t="s">
        <v>701</v>
      </c>
      <c r="D646" s="86">
        <f t="shared" ref="D646:F646" si="249">SUM(D647:D648)</f>
        <v>2</v>
      </c>
      <c r="E646" s="86">
        <f t="shared" si="249"/>
        <v>2</v>
      </c>
      <c r="F646" s="86">
        <f t="shared" si="249"/>
        <v>19</v>
      </c>
      <c r="G646" s="87">
        <f t="shared" si="220"/>
        <v>950</v>
      </c>
      <c r="H646" s="88">
        <f t="shared" ref="H646:H651" si="250">SUM(H647:H647)</f>
        <v>1</v>
      </c>
      <c r="I646" s="86">
        <f t="shared" si="221"/>
        <v>18</v>
      </c>
      <c r="J646" s="87">
        <f t="shared" si="222"/>
        <v>1800</v>
      </c>
      <c r="K646" s="88">
        <f t="shared" ref="K646:K651" si="251">SUM(K647:K647)</f>
        <v>0</v>
      </c>
      <c r="L646" s="88">
        <f t="shared" si="223"/>
        <v>-2</v>
      </c>
      <c r="M646" s="87">
        <f t="shared" si="224"/>
        <v>-100</v>
      </c>
      <c r="N646" s="100"/>
    </row>
    <row r="647" s="3" customFormat="1" spans="1:14">
      <c r="A647" s="83" t="s">
        <v>155</v>
      </c>
      <c r="B647" s="84">
        <v>2240304</v>
      </c>
      <c r="C647" s="116" t="s">
        <v>702</v>
      </c>
      <c r="D647" s="86">
        <v>2</v>
      </c>
      <c r="E647" s="86">
        <v>2</v>
      </c>
      <c r="F647" s="114">
        <v>1</v>
      </c>
      <c r="G647" s="87">
        <f t="shared" ref="G647:G710" si="252">IF(E647=0,,F647/E647*100)</f>
        <v>50</v>
      </c>
      <c r="H647" s="111">
        <v>1</v>
      </c>
      <c r="I647" s="86">
        <f t="shared" ref="I647:I710" si="253">F647-H647</f>
        <v>0</v>
      </c>
      <c r="J647" s="87">
        <f t="shared" ref="J647:J710" si="254">IF(H647=0,,I647/H647*100)</f>
        <v>0</v>
      </c>
      <c r="K647" s="88"/>
      <c r="L647" s="88">
        <f t="shared" ref="L647:L710" si="255">K647-D647</f>
        <v>-2</v>
      </c>
      <c r="M647" s="87">
        <f t="shared" ref="M647:M710" si="256">IF(D647=0,,L647/D647*100)</f>
        <v>-100</v>
      </c>
      <c r="N647" s="100"/>
    </row>
    <row r="648" s="3" customFormat="1" spans="1:14">
      <c r="A648" s="83" t="s">
        <v>155</v>
      </c>
      <c r="B648" s="84">
        <v>2240399</v>
      </c>
      <c r="C648" s="116" t="s">
        <v>703</v>
      </c>
      <c r="D648" s="86"/>
      <c r="E648" s="86"/>
      <c r="F648" s="114">
        <v>18</v>
      </c>
      <c r="G648" s="87">
        <f t="shared" si="252"/>
        <v>0</v>
      </c>
      <c r="H648" s="111"/>
      <c r="I648" s="86">
        <f t="shared" si="253"/>
        <v>18</v>
      </c>
      <c r="J648" s="87">
        <f t="shared" si="254"/>
        <v>0</v>
      </c>
      <c r="K648" s="88"/>
      <c r="L648" s="88">
        <f t="shared" si="255"/>
        <v>0</v>
      </c>
      <c r="M648" s="87">
        <f t="shared" si="256"/>
        <v>0</v>
      </c>
      <c r="N648" s="100"/>
    </row>
    <row r="649" s="3" customFormat="1" spans="1:14">
      <c r="A649" s="83" t="s">
        <v>153</v>
      </c>
      <c r="B649" s="84">
        <v>22404</v>
      </c>
      <c r="C649" s="116" t="s">
        <v>704</v>
      </c>
      <c r="D649" s="86">
        <f t="shared" ref="D649:F649" si="257">SUM(D650:D650)</f>
        <v>0</v>
      </c>
      <c r="E649" s="86">
        <f t="shared" si="257"/>
        <v>0</v>
      </c>
      <c r="F649" s="86">
        <f t="shared" si="257"/>
        <v>0</v>
      </c>
      <c r="G649" s="87">
        <f t="shared" si="252"/>
        <v>0</v>
      </c>
      <c r="H649" s="88">
        <f t="shared" si="250"/>
        <v>0</v>
      </c>
      <c r="I649" s="86">
        <f t="shared" si="253"/>
        <v>0</v>
      </c>
      <c r="J649" s="87">
        <f t="shared" si="254"/>
        <v>0</v>
      </c>
      <c r="K649" s="88">
        <f t="shared" si="251"/>
        <v>0</v>
      </c>
      <c r="L649" s="88">
        <f t="shared" si="255"/>
        <v>0</v>
      </c>
      <c r="M649" s="87">
        <f t="shared" si="256"/>
        <v>0</v>
      </c>
      <c r="N649" s="100"/>
    </row>
    <row r="650" s="3" customFormat="1" spans="1:14">
      <c r="A650" s="83" t="s">
        <v>155</v>
      </c>
      <c r="B650" s="84">
        <v>2240499</v>
      </c>
      <c r="C650" s="116" t="s">
        <v>705</v>
      </c>
      <c r="D650" s="86"/>
      <c r="E650" s="86"/>
      <c r="F650" s="86"/>
      <c r="G650" s="87">
        <f t="shared" si="252"/>
        <v>0</v>
      </c>
      <c r="H650" s="88"/>
      <c r="I650" s="86">
        <f t="shared" si="253"/>
        <v>0</v>
      </c>
      <c r="J650" s="87">
        <f t="shared" si="254"/>
        <v>0</v>
      </c>
      <c r="K650" s="88"/>
      <c r="L650" s="88">
        <f t="shared" si="255"/>
        <v>0</v>
      </c>
      <c r="M650" s="87">
        <f t="shared" si="256"/>
        <v>0</v>
      </c>
      <c r="N650" s="100"/>
    </row>
    <row r="651" s="3" customFormat="1" spans="1:14">
      <c r="A651" s="83" t="s">
        <v>153</v>
      </c>
      <c r="B651" s="84">
        <v>22405</v>
      </c>
      <c r="C651" s="116" t="s">
        <v>706</v>
      </c>
      <c r="D651" s="86">
        <f t="shared" ref="D651:F651" si="258">SUM(D652:D652)</f>
        <v>0</v>
      </c>
      <c r="E651" s="86">
        <f t="shared" si="258"/>
        <v>0</v>
      </c>
      <c r="F651" s="86">
        <f t="shared" si="258"/>
        <v>0</v>
      </c>
      <c r="G651" s="87">
        <f t="shared" si="252"/>
        <v>0</v>
      </c>
      <c r="H651" s="88">
        <f t="shared" si="250"/>
        <v>0</v>
      </c>
      <c r="I651" s="86">
        <f t="shared" si="253"/>
        <v>0</v>
      </c>
      <c r="J651" s="87">
        <f t="shared" si="254"/>
        <v>0</v>
      </c>
      <c r="K651" s="88">
        <f t="shared" si="251"/>
        <v>0</v>
      </c>
      <c r="L651" s="88">
        <f t="shared" si="255"/>
        <v>0</v>
      </c>
      <c r="M651" s="87">
        <f t="shared" si="256"/>
        <v>0</v>
      </c>
      <c r="N651" s="100"/>
    </row>
    <row r="652" s="3" customFormat="1" spans="1:14">
      <c r="A652" s="83" t="s">
        <v>155</v>
      </c>
      <c r="B652" s="84">
        <v>2240599</v>
      </c>
      <c r="C652" s="116" t="s">
        <v>707</v>
      </c>
      <c r="D652" s="86"/>
      <c r="E652" s="86"/>
      <c r="F652" s="86"/>
      <c r="G652" s="87">
        <f t="shared" si="252"/>
        <v>0</v>
      </c>
      <c r="H652" s="88"/>
      <c r="I652" s="86">
        <f t="shared" si="253"/>
        <v>0</v>
      </c>
      <c r="J652" s="87">
        <f t="shared" si="254"/>
        <v>0</v>
      </c>
      <c r="K652" s="88"/>
      <c r="L652" s="88">
        <f t="shared" si="255"/>
        <v>0</v>
      </c>
      <c r="M652" s="87">
        <f t="shared" si="256"/>
        <v>0</v>
      </c>
      <c r="N652" s="100"/>
    </row>
    <row r="653" s="3" customFormat="1" spans="1:14">
      <c r="A653" s="83" t="s">
        <v>153</v>
      </c>
      <c r="B653" s="84">
        <v>22406</v>
      </c>
      <c r="C653" s="116" t="s">
        <v>708</v>
      </c>
      <c r="D653" s="86">
        <f t="shared" ref="D653:F653" si="259">SUM(D654:D654)</f>
        <v>0</v>
      </c>
      <c r="E653" s="86">
        <f t="shared" si="259"/>
        <v>0</v>
      </c>
      <c r="F653" s="86">
        <f t="shared" si="259"/>
        <v>0</v>
      </c>
      <c r="G653" s="87">
        <f t="shared" si="252"/>
        <v>0</v>
      </c>
      <c r="H653" s="88">
        <f>SUM(H654:H654)</f>
        <v>0</v>
      </c>
      <c r="I653" s="86">
        <f t="shared" si="253"/>
        <v>0</v>
      </c>
      <c r="J653" s="87">
        <f t="shared" si="254"/>
        <v>0</v>
      </c>
      <c r="K653" s="88">
        <f>SUM(K654:K654)</f>
        <v>0</v>
      </c>
      <c r="L653" s="88">
        <f t="shared" si="255"/>
        <v>0</v>
      </c>
      <c r="M653" s="87">
        <f t="shared" si="256"/>
        <v>0</v>
      </c>
      <c r="N653" s="100"/>
    </row>
    <row r="654" s="3" customFormat="1" spans="1:14">
      <c r="A654" s="83" t="s">
        <v>155</v>
      </c>
      <c r="B654" s="84">
        <v>2240699</v>
      </c>
      <c r="C654" s="116" t="s">
        <v>709</v>
      </c>
      <c r="D654" s="86"/>
      <c r="E654" s="86"/>
      <c r="F654" s="86"/>
      <c r="G654" s="87">
        <f t="shared" si="252"/>
        <v>0</v>
      </c>
      <c r="H654" s="88"/>
      <c r="I654" s="86">
        <f t="shared" si="253"/>
        <v>0</v>
      </c>
      <c r="J654" s="87">
        <f t="shared" si="254"/>
        <v>0</v>
      </c>
      <c r="K654" s="88"/>
      <c r="L654" s="88">
        <f t="shared" si="255"/>
        <v>0</v>
      </c>
      <c r="M654" s="87">
        <f t="shared" si="256"/>
        <v>0</v>
      </c>
      <c r="N654" s="100"/>
    </row>
    <row r="655" s="3" customFormat="1" spans="1:14">
      <c r="A655" s="83" t="s">
        <v>153</v>
      </c>
      <c r="B655" s="84">
        <v>22407</v>
      </c>
      <c r="C655" s="116" t="s">
        <v>710</v>
      </c>
      <c r="D655" s="86">
        <f t="shared" ref="D655:F655" si="260">SUM(D656:D660)</f>
        <v>311</v>
      </c>
      <c r="E655" s="86">
        <f t="shared" si="260"/>
        <v>311</v>
      </c>
      <c r="F655" s="86">
        <f t="shared" si="260"/>
        <v>822</v>
      </c>
      <c r="G655" s="87">
        <f t="shared" si="252"/>
        <v>264.308681672026</v>
      </c>
      <c r="H655" s="88">
        <f>SUM(H656:H660)</f>
        <v>110</v>
      </c>
      <c r="I655" s="86">
        <f t="shared" si="253"/>
        <v>712</v>
      </c>
      <c r="J655" s="87">
        <f t="shared" si="254"/>
        <v>647.272727272727</v>
      </c>
      <c r="K655" s="88">
        <f>SUM(K656:K660)</f>
        <v>0</v>
      </c>
      <c r="L655" s="88">
        <f t="shared" si="255"/>
        <v>-311</v>
      </c>
      <c r="M655" s="87">
        <f t="shared" si="256"/>
        <v>-100</v>
      </c>
      <c r="N655" s="100"/>
    </row>
    <row r="656" s="3" customFormat="1" spans="1:14">
      <c r="A656" s="83" t="s">
        <v>155</v>
      </c>
      <c r="B656" s="84">
        <v>2240701</v>
      </c>
      <c r="C656" s="116" t="s">
        <v>711</v>
      </c>
      <c r="D656" s="86"/>
      <c r="E656" s="86"/>
      <c r="F656" s="86"/>
      <c r="G656" s="87">
        <f t="shared" si="252"/>
        <v>0</v>
      </c>
      <c r="H656" s="88"/>
      <c r="I656" s="86">
        <f t="shared" si="253"/>
        <v>0</v>
      </c>
      <c r="J656" s="87">
        <f t="shared" si="254"/>
        <v>0</v>
      </c>
      <c r="K656" s="88"/>
      <c r="L656" s="88">
        <f t="shared" si="255"/>
        <v>0</v>
      </c>
      <c r="M656" s="87">
        <f t="shared" si="256"/>
        <v>0</v>
      </c>
      <c r="N656" s="100"/>
    </row>
    <row r="657" s="3" customFormat="1" spans="1:14">
      <c r="A657" s="83" t="s">
        <v>155</v>
      </c>
      <c r="B657" s="84">
        <v>2240702</v>
      </c>
      <c r="C657" s="116" t="s">
        <v>712</v>
      </c>
      <c r="D657" s="86"/>
      <c r="E657" s="86"/>
      <c r="F657" s="86"/>
      <c r="G657" s="87">
        <f t="shared" si="252"/>
        <v>0</v>
      </c>
      <c r="H657" s="88"/>
      <c r="I657" s="86">
        <f t="shared" si="253"/>
        <v>0</v>
      </c>
      <c r="J657" s="87">
        <f t="shared" si="254"/>
        <v>0</v>
      </c>
      <c r="K657" s="88"/>
      <c r="L657" s="88">
        <f t="shared" si="255"/>
        <v>0</v>
      </c>
      <c r="M657" s="87">
        <f t="shared" si="256"/>
        <v>0</v>
      </c>
      <c r="N657" s="100"/>
    </row>
    <row r="658" s="3" customFormat="1" spans="1:14">
      <c r="A658" s="83" t="s">
        <v>155</v>
      </c>
      <c r="B658" s="84">
        <v>2240703</v>
      </c>
      <c r="C658" s="116" t="s">
        <v>713</v>
      </c>
      <c r="D658" s="86"/>
      <c r="E658" s="86"/>
      <c r="F658" s="86">
        <v>350</v>
      </c>
      <c r="G658" s="87">
        <f t="shared" si="252"/>
        <v>0</v>
      </c>
      <c r="H658" s="88">
        <v>107</v>
      </c>
      <c r="I658" s="86">
        <f t="shared" si="253"/>
        <v>243</v>
      </c>
      <c r="J658" s="87">
        <f t="shared" si="254"/>
        <v>227.102803738318</v>
      </c>
      <c r="K658" s="88"/>
      <c r="L658" s="88">
        <f t="shared" si="255"/>
        <v>0</v>
      </c>
      <c r="M658" s="87">
        <f t="shared" si="256"/>
        <v>0</v>
      </c>
      <c r="N658" s="100"/>
    </row>
    <row r="659" s="3" customFormat="1" spans="1:14">
      <c r="A659" s="83" t="s">
        <v>155</v>
      </c>
      <c r="B659" s="84">
        <v>2240704</v>
      </c>
      <c r="C659" s="116" t="s">
        <v>714</v>
      </c>
      <c r="D659" s="86">
        <v>311</v>
      </c>
      <c r="E659" s="86">
        <v>311</v>
      </c>
      <c r="F659" s="86">
        <v>275</v>
      </c>
      <c r="G659" s="87">
        <f t="shared" si="252"/>
        <v>88.4244372990354</v>
      </c>
      <c r="H659" s="88">
        <v>1</v>
      </c>
      <c r="I659" s="86">
        <f t="shared" si="253"/>
        <v>274</v>
      </c>
      <c r="J659" s="87">
        <f t="shared" si="254"/>
        <v>27400</v>
      </c>
      <c r="K659" s="88"/>
      <c r="L659" s="88">
        <f t="shared" si="255"/>
        <v>-311</v>
      </c>
      <c r="M659" s="87">
        <f t="shared" si="256"/>
        <v>-100</v>
      </c>
      <c r="N659" s="100"/>
    </row>
    <row r="660" s="3" customFormat="1" spans="1:14">
      <c r="A660" s="83" t="s">
        <v>155</v>
      </c>
      <c r="B660" s="84">
        <v>2240799</v>
      </c>
      <c r="C660" s="116" t="s">
        <v>715</v>
      </c>
      <c r="D660" s="86"/>
      <c r="E660" s="86"/>
      <c r="F660" s="86">
        <v>197</v>
      </c>
      <c r="G660" s="87">
        <f t="shared" si="252"/>
        <v>0</v>
      </c>
      <c r="H660" s="88">
        <v>2</v>
      </c>
      <c r="I660" s="86">
        <f t="shared" si="253"/>
        <v>195</v>
      </c>
      <c r="J660" s="87">
        <f t="shared" si="254"/>
        <v>9750</v>
      </c>
      <c r="K660" s="88"/>
      <c r="L660" s="88">
        <f t="shared" si="255"/>
        <v>0</v>
      </c>
      <c r="M660" s="87">
        <f t="shared" si="256"/>
        <v>0</v>
      </c>
      <c r="N660" s="100"/>
    </row>
    <row r="661" s="3" customFormat="1" spans="1:14">
      <c r="A661" s="83" t="s">
        <v>153</v>
      </c>
      <c r="B661" s="84">
        <v>22499</v>
      </c>
      <c r="C661" s="116" t="s">
        <v>716</v>
      </c>
      <c r="D661" s="86">
        <v>0</v>
      </c>
      <c r="E661" s="86">
        <v>0</v>
      </c>
      <c r="F661" s="86"/>
      <c r="G661" s="87">
        <f t="shared" si="252"/>
        <v>0</v>
      </c>
      <c r="H661" s="88"/>
      <c r="I661" s="86">
        <f t="shared" si="253"/>
        <v>0</v>
      </c>
      <c r="J661" s="87">
        <f t="shared" si="254"/>
        <v>0</v>
      </c>
      <c r="K661" s="88">
        <v>0</v>
      </c>
      <c r="L661" s="88">
        <f t="shared" si="255"/>
        <v>0</v>
      </c>
      <c r="M661" s="87">
        <f t="shared" si="256"/>
        <v>0</v>
      </c>
      <c r="N661" s="100"/>
    </row>
    <row r="662" s="3" customFormat="1" spans="1:14">
      <c r="A662" s="83" t="s">
        <v>151</v>
      </c>
      <c r="B662" s="84">
        <v>227</v>
      </c>
      <c r="C662" s="116" t="s">
        <v>717</v>
      </c>
      <c r="D662" s="86">
        <v>300</v>
      </c>
      <c r="E662" s="86">
        <v>300</v>
      </c>
      <c r="F662" s="86"/>
      <c r="G662" s="87">
        <f t="shared" si="252"/>
        <v>0</v>
      </c>
      <c r="H662" s="88"/>
      <c r="I662" s="86">
        <f t="shared" si="253"/>
        <v>0</v>
      </c>
      <c r="J662" s="87">
        <f t="shared" si="254"/>
        <v>0</v>
      </c>
      <c r="K662" s="88">
        <v>500</v>
      </c>
      <c r="L662" s="88">
        <f t="shared" si="255"/>
        <v>200</v>
      </c>
      <c r="M662" s="87">
        <f t="shared" si="256"/>
        <v>66.6666666666667</v>
      </c>
      <c r="N662" s="100"/>
    </row>
    <row r="663" s="3" customFormat="1" spans="1:14">
      <c r="A663" s="83" t="s">
        <v>151</v>
      </c>
      <c r="B663" s="84">
        <v>232</v>
      </c>
      <c r="C663" s="116" t="s">
        <v>718</v>
      </c>
      <c r="D663" s="86">
        <f t="shared" ref="D663:F663" si="261">SUM(D664)</f>
        <v>639</v>
      </c>
      <c r="E663" s="86">
        <f t="shared" si="261"/>
        <v>639</v>
      </c>
      <c r="F663" s="86">
        <f t="shared" si="261"/>
        <v>639</v>
      </c>
      <c r="G663" s="87">
        <f t="shared" si="252"/>
        <v>100</v>
      </c>
      <c r="H663" s="88">
        <f>SUM(H664)</f>
        <v>690</v>
      </c>
      <c r="I663" s="86">
        <f t="shared" si="253"/>
        <v>-51</v>
      </c>
      <c r="J663" s="87">
        <f t="shared" si="254"/>
        <v>-7.39130434782609</v>
      </c>
      <c r="K663" s="88">
        <f>SUM(K664)</f>
        <v>685</v>
      </c>
      <c r="L663" s="88">
        <f t="shared" si="255"/>
        <v>46</v>
      </c>
      <c r="M663" s="87">
        <f t="shared" si="256"/>
        <v>7.19874804381847</v>
      </c>
      <c r="N663" s="100"/>
    </row>
    <row r="664" s="3" customFormat="1" spans="1:14">
      <c r="A664" s="83" t="s">
        <v>153</v>
      </c>
      <c r="B664" s="84">
        <v>23203</v>
      </c>
      <c r="C664" s="116" t="s">
        <v>719</v>
      </c>
      <c r="D664" s="86">
        <f t="shared" ref="D664:F664" si="262">SUM(D665:D668)</f>
        <v>639</v>
      </c>
      <c r="E664" s="86">
        <f t="shared" si="262"/>
        <v>639</v>
      </c>
      <c r="F664" s="86">
        <f t="shared" si="262"/>
        <v>639</v>
      </c>
      <c r="G664" s="87">
        <f t="shared" si="252"/>
        <v>100</v>
      </c>
      <c r="H664" s="88">
        <f>SUM(H665:H668)</f>
        <v>690</v>
      </c>
      <c r="I664" s="86">
        <f t="shared" si="253"/>
        <v>-51</v>
      </c>
      <c r="J664" s="87">
        <f t="shared" si="254"/>
        <v>-7.39130434782609</v>
      </c>
      <c r="K664" s="88">
        <f>SUM(K665:K668)</f>
        <v>685</v>
      </c>
      <c r="L664" s="88">
        <f t="shared" si="255"/>
        <v>46</v>
      </c>
      <c r="M664" s="87">
        <f t="shared" si="256"/>
        <v>7.19874804381847</v>
      </c>
      <c r="N664" s="100"/>
    </row>
    <row r="665" s="3" customFormat="1" spans="1:14">
      <c r="A665" s="83" t="s">
        <v>155</v>
      </c>
      <c r="B665" s="84">
        <v>2320301</v>
      </c>
      <c r="C665" s="116" t="s">
        <v>720</v>
      </c>
      <c r="D665" s="86">
        <v>639</v>
      </c>
      <c r="E665" s="86">
        <v>639</v>
      </c>
      <c r="F665" s="114">
        <v>639</v>
      </c>
      <c r="G665" s="87">
        <f t="shared" si="252"/>
        <v>100</v>
      </c>
      <c r="H665" s="111">
        <v>690</v>
      </c>
      <c r="I665" s="86">
        <f t="shared" si="253"/>
        <v>-51</v>
      </c>
      <c r="J665" s="87">
        <f t="shared" si="254"/>
        <v>-7.39130434782609</v>
      </c>
      <c r="K665" s="88">
        <v>685</v>
      </c>
      <c r="L665" s="88">
        <f t="shared" si="255"/>
        <v>46</v>
      </c>
      <c r="M665" s="87">
        <f t="shared" si="256"/>
        <v>7.19874804381847</v>
      </c>
      <c r="N665" s="100"/>
    </row>
    <row r="666" s="3" customFormat="1" hidden="1" spans="1:14">
      <c r="A666" s="83" t="s">
        <v>155</v>
      </c>
      <c r="B666" s="84">
        <v>2320302</v>
      </c>
      <c r="C666" s="116" t="s">
        <v>721</v>
      </c>
      <c r="D666" s="86"/>
      <c r="E666" s="86"/>
      <c r="F666" s="86"/>
      <c r="G666" s="87">
        <f t="shared" si="252"/>
        <v>0</v>
      </c>
      <c r="H666" s="88"/>
      <c r="I666" s="86">
        <f t="shared" si="253"/>
        <v>0</v>
      </c>
      <c r="J666" s="87">
        <f t="shared" si="254"/>
        <v>0</v>
      </c>
      <c r="K666" s="88"/>
      <c r="L666" s="88">
        <f t="shared" si="255"/>
        <v>0</v>
      </c>
      <c r="M666" s="87">
        <f t="shared" si="256"/>
        <v>0</v>
      </c>
      <c r="N666" s="100"/>
    </row>
    <row r="667" s="3" customFormat="1" hidden="1" spans="1:14">
      <c r="A667" s="83" t="s">
        <v>155</v>
      </c>
      <c r="B667" s="84">
        <v>2320303</v>
      </c>
      <c r="C667" s="116" t="s">
        <v>722</v>
      </c>
      <c r="D667" s="86"/>
      <c r="E667" s="86"/>
      <c r="F667" s="86"/>
      <c r="G667" s="87">
        <f t="shared" si="252"/>
        <v>0</v>
      </c>
      <c r="H667" s="88"/>
      <c r="I667" s="86">
        <f t="shared" si="253"/>
        <v>0</v>
      </c>
      <c r="J667" s="87">
        <f t="shared" si="254"/>
        <v>0</v>
      </c>
      <c r="K667" s="88"/>
      <c r="L667" s="88">
        <f t="shared" si="255"/>
        <v>0</v>
      </c>
      <c r="M667" s="87">
        <f t="shared" si="256"/>
        <v>0</v>
      </c>
      <c r="N667" s="100"/>
    </row>
    <row r="668" s="3" customFormat="1" hidden="1" spans="1:14">
      <c r="A668" s="83" t="s">
        <v>155</v>
      </c>
      <c r="B668" s="84">
        <v>2320304</v>
      </c>
      <c r="C668" s="116" t="s">
        <v>723</v>
      </c>
      <c r="D668" s="86"/>
      <c r="E668" s="86"/>
      <c r="F668" s="86"/>
      <c r="G668" s="87">
        <f t="shared" si="252"/>
        <v>0</v>
      </c>
      <c r="H668" s="88"/>
      <c r="I668" s="86">
        <f t="shared" si="253"/>
        <v>0</v>
      </c>
      <c r="J668" s="87">
        <f t="shared" si="254"/>
        <v>0</v>
      </c>
      <c r="K668" s="88"/>
      <c r="L668" s="88">
        <f t="shared" si="255"/>
        <v>0</v>
      </c>
      <c r="M668" s="87">
        <f t="shared" si="256"/>
        <v>0</v>
      </c>
      <c r="N668" s="100"/>
    </row>
    <row r="669" s="3" customFormat="1" spans="1:14">
      <c r="A669" s="83" t="s">
        <v>151</v>
      </c>
      <c r="B669" s="84">
        <v>233</v>
      </c>
      <c r="C669" s="85" t="s">
        <v>724</v>
      </c>
      <c r="D669" s="86">
        <f t="shared" ref="D669:F669" si="263">SUM(D670)</f>
        <v>1</v>
      </c>
      <c r="E669" s="86">
        <f t="shared" si="263"/>
        <v>1</v>
      </c>
      <c r="F669" s="86">
        <f t="shared" si="263"/>
        <v>0</v>
      </c>
      <c r="G669" s="87">
        <f t="shared" si="252"/>
        <v>0</v>
      </c>
      <c r="H669" s="88">
        <f>SUM(H670)</f>
        <v>1</v>
      </c>
      <c r="I669" s="86">
        <f t="shared" si="253"/>
        <v>-1</v>
      </c>
      <c r="J669" s="87">
        <f t="shared" si="254"/>
        <v>-100</v>
      </c>
      <c r="K669" s="88">
        <f>SUM(K670)</f>
        <v>0</v>
      </c>
      <c r="L669" s="88">
        <f t="shared" si="255"/>
        <v>-1</v>
      </c>
      <c r="M669" s="87">
        <f t="shared" si="256"/>
        <v>-100</v>
      </c>
      <c r="N669" s="100"/>
    </row>
    <row r="670" s="3" customFormat="1" spans="1:14">
      <c r="A670" s="83" t="s">
        <v>153</v>
      </c>
      <c r="B670" s="84">
        <v>23303</v>
      </c>
      <c r="C670" s="85" t="s">
        <v>725</v>
      </c>
      <c r="D670" s="86">
        <v>1</v>
      </c>
      <c r="E670" s="86">
        <v>1</v>
      </c>
      <c r="F670" s="86"/>
      <c r="G670" s="87">
        <f t="shared" si="252"/>
        <v>0</v>
      </c>
      <c r="H670" s="88">
        <v>1</v>
      </c>
      <c r="I670" s="86">
        <f t="shared" si="253"/>
        <v>-1</v>
      </c>
      <c r="J670" s="87">
        <f t="shared" si="254"/>
        <v>-100</v>
      </c>
      <c r="K670" s="88"/>
      <c r="L670" s="88">
        <f t="shared" si="255"/>
        <v>-1</v>
      </c>
      <c r="M670" s="87">
        <f t="shared" si="256"/>
        <v>-100</v>
      </c>
      <c r="N670" s="100"/>
    </row>
    <row r="671" s="3" customFormat="1" spans="1:14">
      <c r="A671" s="83" t="s">
        <v>151</v>
      </c>
      <c r="B671" s="84">
        <v>229</v>
      </c>
      <c r="C671" s="85" t="s">
        <v>726</v>
      </c>
      <c r="D671" s="120">
        <f t="shared" ref="D671:F671" si="264">SUM(D672,D679)</f>
        <v>100</v>
      </c>
      <c r="E671" s="120">
        <f t="shared" si="264"/>
        <v>100</v>
      </c>
      <c r="F671" s="120">
        <f t="shared" si="264"/>
        <v>0</v>
      </c>
      <c r="G671" s="87">
        <f t="shared" si="252"/>
        <v>0</v>
      </c>
      <c r="H671" s="121">
        <f>SUM(H672,H679)</f>
        <v>0</v>
      </c>
      <c r="I671" s="86">
        <f t="shared" si="253"/>
        <v>0</v>
      </c>
      <c r="J671" s="87">
        <f t="shared" si="254"/>
        <v>0</v>
      </c>
      <c r="K671" s="121">
        <f>SUM(K672,K679)</f>
        <v>188</v>
      </c>
      <c r="L671" s="88">
        <f t="shared" si="255"/>
        <v>88</v>
      </c>
      <c r="M671" s="87">
        <f t="shared" si="256"/>
        <v>88</v>
      </c>
      <c r="N671" s="122"/>
    </row>
    <row r="672" s="3" customFormat="1" spans="1:14">
      <c r="A672" s="83" t="s">
        <v>153</v>
      </c>
      <c r="B672" s="84">
        <v>22902</v>
      </c>
      <c r="C672" s="85" t="s">
        <v>727</v>
      </c>
      <c r="D672" s="120">
        <f t="shared" ref="D672:F672" si="265">SUM(D673:D678)</f>
        <v>100</v>
      </c>
      <c r="E672" s="120">
        <f t="shared" si="265"/>
        <v>100</v>
      </c>
      <c r="F672" s="120">
        <f t="shared" si="265"/>
        <v>0</v>
      </c>
      <c r="G672" s="87">
        <f t="shared" si="252"/>
        <v>0</v>
      </c>
      <c r="H672" s="121">
        <f>SUM(H673:H678)</f>
        <v>0</v>
      </c>
      <c r="I672" s="86">
        <f t="shared" si="253"/>
        <v>0</v>
      </c>
      <c r="J672" s="87">
        <f t="shared" si="254"/>
        <v>0</v>
      </c>
      <c r="K672" s="121">
        <f>SUM(K673:K678)</f>
        <v>100</v>
      </c>
      <c r="L672" s="88">
        <f t="shared" si="255"/>
        <v>0</v>
      </c>
      <c r="M672" s="87">
        <f t="shared" si="256"/>
        <v>0</v>
      </c>
      <c r="N672" s="122"/>
    </row>
    <row r="673" s="3" customFormat="1" spans="1:14">
      <c r="A673" s="83" t="s">
        <v>155</v>
      </c>
      <c r="B673" s="122"/>
      <c r="C673" s="123" t="s">
        <v>728</v>
      </c>
      <c r="D673" s="124"/>
      <c r="E673" s="124"/>
      <c r="F673" s="86"/>
      <c r="G673" s="87">
        <f t="shared" si="252"/>
        <v>0</v>
      </c>
      <c r="H673" s="88"/>
      <c r="I673" s="86">
        <f t="shared" si="253"/>
        <v>0</v>
      </c>
      <c r="J673" s="87">
        <f t="shared" si="254"/>
        <v>0</v>
      </c>
      <c r="K673" s="131"/>
      <c r="L673" s="88">
        <f t="shared" si="255"/>
        <v>0</v>
      </c>
      <c r="M673" s="87">
        <f t="shared" si="256"/>
        <v>0</v>
      </c>
      <c r="N673" s="132"/>
    </row>
    <row r="674" s="3" customFormat="1" spans="1:14">
      <c r="A674" s="83" t="s">
        <v>155</v>
      </c>
      <c r="B674" s="122"/>
      <c r="C674" s="123" t="s">
        <v>729</v>
      </c>
      <c r="D674" s="124">
        <v>100</v>
      </c>
      <c r="E674" s="124">
        <v>100</v>
      </c>
      <c r="F674" s="86"/>
      <c r="G674" s="87">
        <f t="shared" si="252"/>
        <v>0</v>
      </c>
      <c r="H674" s="88"/>
      <c r="I674" s="86">
        <f t="shared" si="253"/>
        <v>0</v>
      </c>
      <c r="J674" s="87">
        <f t="shared" si="254"/>
        <v>0</v>
      </c>
      <c r="K674" s="131">
        <v>100</v>
      </c>
      <c r="L674" s="88">
        <f t="shared" si="255"/>
        <v>0</v>
      </c>
      <c r="M674" s="87">
        <f t="shared" si="256"/>
        <v>0</v>
      </c>
      <c r="N674" s="132"/>
    </row>
    <row r="675" s="3" customFormat="1" hidden="1" spans="1:14">
      <c r="A675" s="83" t="s">
        <v>155</v>
      </c>
      <c r="B675" s="122"/>
      <c r="C675" s="123" t="s">
        <v>730</v>
      </c>
      <c r="D675" s="124"/>
      <c r="E675" s="124"/>
      <c r="F675" s="86"/>
      <c r="G675" s="87">
        <f t="shared" si="252"/>
        <v>0</v>
      </c>
      <c r="H675" s="88"/>
      <c r="I675" s="86">
        <f t="shared" si="253"/>
        <v>0</v>
      </c>
      <c r="J675" s="87">
        <f t="shared" si="254"/>
        <v>0</v>
      </c>
      <c r="K675" s="131"/>
      <c r="L675" s="88">
        <f t="shared" si="255"/>
        <v>0</v>
      </c>
      <c r="M675" s="87">
        <f t="shared" si="256"/>
        <v>0</v>
      </c>
      <c r="N675" s="132"/>
    </row>
    <row r="676" s="3" customFormat="1" hidden="1" spans="1:14">
      <c r="A676" s="83" t="s">
        <v>155</v>
      </c>
      <c r="B676" s="122"/>
      <c r="C676" s="123" t="s">
        <v>731</v>
      </c>
      <c r="D676" s="124"/>
      <c r="E676" s="124"/>
      <c r="F676" s="86"/>
      <c r="G676" s="87">
        <f t="shared" si="252"/>
        <v>0</v>
      </c>
      <c r="H676" s="88"/>
      <c r="I676" s="86">
        <f t="shared" si="253"/>
        <v>0</v>
      </c>
      <c r="J676" s="87">
        <f t="shared" si="254"/>
        <v>0</v>
      </c>
      <c r="K676" s="131"/>
      <c r="L676" s="88">
        <f t="shared" si="255"/>
        <v>0</v>
      </c>
      <c r="M676" s="87">
        <f t="shared" si="256"/>
        <v>0</v>
      </c>
      <c r="N676" s="132"/>
    </row>
    <row r="677" s="3" customFormat="1" hidden="1" spans="1:14">
      <c r="A677" s="83" t="s">
        <v>155</v>
      </c>
      <c r="B677" s="122"/>
      <c r="C677" s="123" t="s">
        <v>732</v>
      </c>
      <c r="D677" s="124"/>
      <c r="E677" s="124"/>
      <c r="F677" s="86"/>
      <c r="G677" s="87">
        <f t="shared" si="252"/>
        <v>0</v>
      </c>
      <c r="H677" s="88"/>
      <c r="I677" s="86">
        <f t="shared" si="253"/>
        <v>0</v>
      </c>
      <c r="J677" s="87">
        <f t="shared" si="254"/>
        <v>0</v>
      </c>
      <c r="K677" s="131"/>
      <c r="L677" s="88">
        <f t="shared" si="255"/>
        <v>0</v>
      </c>
      <c r="M677" s="87">
        <f t="shared" si="256"/>
        <v>0</v>
      </c>
      <c r="N677" s="132"/>
    </row>
    <row r="678" s="3" customFormat="1" hidden="1" spans="1:14">
      <c r="A678" s="83" t="s">
        <v>155</v>
      </c>
      <c r="B678" s="122"/>
      <c r="C678" s="123" t="s">
        <v>733</v>
      </c>
      <c r="D678" s="124"/>
      <c r="E678" s="124"/>
      <c r="F678" s="86"/>
      <c r="G678" s="87">
        <f t="shared" si="252"/>
        <v>0</v>
      </c>
      <c r="H678" s="88"/>
      <c r="I678" s="86">
        <f t="shared" si="253"/>
        <v>0</v>
      </c>
      <c r="J678" s="87">
        <f t="shared" si="254"/>
        <v>0</v>
      </c>
      <c r="K678" s="131"/>
      <c r="L678" s="88">
        <f t="shared" si="255"/>
        <v>0</v>
      </c>
      <c r="M678" s="87">
        <f t="shared" si="256"/>
        <v>0</v>
      </c>
      <c r="N678" s="132"/>
    </row>
    <row r="679" s="3" customFormat="1" spans="1:14">
      <c r="A679" s="83" t="s">
        <v>153</v>
      </c>
      <c r="B679" s="84">
        <v>22999</v>
      </c>
      <c r="C679" s="85" t="s">
        <v>660</v>
      </c>
      <c r="D679" s="120"/>
      <c r="E679" s="120"/>
      <c r="F679" s="120"/>
      <c r="G679" s="87">
        <f t="shared" si="252"/>
        <v>0</v>
      </c>
      <c r="H679" s="121"/>
      <c r="I679" s="86">
        <f t="shared" si="253"/>
        <v>0</v>
      </c>
      <c r="J679" s="87">
        <f t="shared" si="254"/>
        <v>0</v>
      </c>
      <c r="K679" s="121">
        <f>K680</f>
        <v>88</v>
      </c>
      <c r="L679" s="88">
        <f t="shared" si="255"/>
        <v>88</v>
      </c>
      <c r="M679" s="87">
        <f t="shared" si="256"/>
        <v>0</v>
      </c>
      <c r="N679" s="122"/>
    </row>
    <row r="680" s="3" customFormat="1" spans="1:14">
      <c r="A680" s="83"/>
      <c r="B680" s="84">
        <v>2299999</v>
      </c>
      <c r="C680" s="85" t="s">
        <v>734</v>
      </c>
      <c r="D680" s="120"/>
      <c r="E680" s="120"/>
      <c r="F680" s="120"/>
      <c r="G680" s="87">
        <f t="shared" si="252"/>
        <v>0</v>
      </c>
      <c r="H680" s="121"/>
      <c r="I680" s="86">
        <f t="shared" si="253"/>
        <v>0</v>
      </c>
      <c r="J680" s="87">
        <f t="shared" si="254"/>
        <v>0</v>
      </c>
      <c r="K680" s="121">
        <f>88</f>
        <v>88</v>
      </c>
      <c r="L680" s="88">
        <f t="shared" si="255"/>
        <v>88</v>
      </c>
      <c r="M680" s="87">
        <f t="shared" si="256"/>
        <v>0</v>
      </c>
      <c r="N680" s="122"/>
    </row>
    <row r="681" s="3" customFormat="1" spans="1:14">
      <c r="A681" s="83" t="s">
        <v>735</v>
      </c>
      <c r="B681" s="122"/>
      <c r="C681" s="125" t="s">
        <v>736</v>
      </c>
      <c r="D681" s="120"/>
      <c r="E681" s="120"/>
      <c r="F681" s="120"/>
      <c r="G681" s="87">
        <f t="shared" si="252"/>
        <v>0</v>
      </c>
      <c r="H681" s="121"/>
      <c r="I681" s="86">
        <f t="shared" si="253"/>
        <v>0</v>
      </c>
      <c r="J681" s="87">
        <f t="shared" si="254"/>
        <v>0</v>
      </c>
      <c r="K681" s="121"/>
      <c r="L681" s="88">
        <f t="shared" si="255"/>
        <v>0</v>
      </c>
      <c r="M681" s="87">
        <f t="shared" si="256"/>
        <v>0</v>
      </c>
      <c r="N681" s="122"/>
    </row>
    <row r="682" s="70" customFormat="1" spans="1:14">
      <c r="A682" s="126" t="s">
        <v>737</v>
      </c>
      <c r="B682" s="24"/>
      <c r="C682" s="127" t="s">
        <v>738</v>
      </c>
      <c r="D682" s="128">
        <f t="shared" ref="D682:F682" si="266">SUM(D7,D147,D150,D159,D200,D231,D256,D278,D366,D413,D445,D462,D532,D555,D575,D582,D592,D602,D613,D620,D631,D662,D663,D669,D671,D681)</f>
        <v>52686</v>
      </c>
      <c r="E682" s="128">
        <f t="shared" si="266"/>
        <v>50601</v>
      </c>
      <c r="F682" s="128">
        <f t="shared" si="266"/>
        <v>54021</v>
      </c>
      <c r="G682" s="129">
        <f t="shared" si="252"/>
        <v>106.758759708306</v>
      </c>
      <c r="H682" s="130">
        <f>SUM(H7,H147,H150,H159,H200,H231,H256,H278,H366,H413,H445,H462,H532,H555,H575,H582,H592,H602,H613,H620,H631,H662,H663,H669,H671,H681)</f>
        <v>50266</v>
      </c>
      <c r="I682" s="103">
        <f t="shared" si="253"/>
        <v>3755</v>
      </c>
      <c r="J682" s="129">
        <f t="shared" si="254"/>
        <v>7.47025822623642</v>
      </c>
      <c r="K682" s="130">
        <f>SUM(K7,K147,K150,K159,K200,K231,K256,K278,K366,K413,K445,K462,K532,K555,K575,K582,K592,K602,K613,K620,K631,K662,K663,K669,K671,K681)</f>
        <v>47889</v>
      </c>
      <c r="L682" s="105">
        <f t="shared" si="255"/>
        <v>-4797</v>
      </c>
      <c r="M682" s="129">
        <f t="shared" si="256"/>
        <v>-9.10488554834301</v>
      </c>
      <c r="N682" s="24"/>
    </row>
    <row r="683" s="3" customFormat="1" spans="1:14">
      <c r="A683" s="83" t="s">
        <v>737</v>
      </c>
      <c r="B683" s="122"/>
      <c r="C683" s="125" t="s">
        <v>739</v>
      </c>
      <c r="D683" s="124">
        <f t="shared" ref="D683:H683" si="267">D684+D687+D753+D754+D755+D757+D758+D759+D760</f>
        <v>3956</v>
      </c>
      <c r="E683" s="124">
        <f t="shared" si="267"/>
        <v>5353</v>
      </c>
      <c r="F683" s="86">
        <f>F684+F687+F753+F754+F755+F757+F758+F759+F760+F756</f>
        <v>8162</v>
      </c>
      <c r="G683" s="87">
        <f t="shared" si="252"/>
        <v>152.475247524752</v>
      </c>
      <c r="H683" s="88">
        <f t="shared" si="267"/>
        <v>15546</v>
      </c>
      <c r="I683" s="86">
        <f t="shared" si="253"/>
        <v>-7384</v>
      </c>
      <c r="J683" s="87">
        <f t="shared" si="254"/>
        <v>-47.4977486170076</v>
      </c>
      <c r="K683" s="131">
        <f>K684+K687+K753+K754+K755+K757+K758+K759+K760</f>
        <v>3000</v>
      </c>
      <c r="L683" s="88">
        <f t="shared" si="255"/>
        <v>-956</v>
      </c>
      <c r="M683" s="87">
        <f t="shared" si="256"/>
        <v>-24.1658240647118</v>
      </c>
      <c r="N683" s="19"/>
    </row>
    <row r="684" s="3" customFormat="1" spans="1:14">
      <c r="A684" s="83" t="s">
        <v>737</v>
      </c>
      <c r="B684" s="84"/>
      <c r="C684" s="85" t="s">
        <v>740</v>
      </c>
      <c r="D684" s="120">
        <f t="shared" ref="D684:F684" si="268">SUM(D685:D686)</f>
        <v>2600</v>
      </c>
      <c r="E684" s="120">
        <f t="shared" si="268"/>
        <v>2600</v>
      </c>
      <c r="F684" s="120">
        <f t="shared" si="268"/>
        <v>2954</v>
      </c>
      <c r="G684" s="87">
        <f t="shared" si="252"/>
        <v>113.615384615385</v>
      </c>
      <c r="H684" s="121">
        <f>SUM(H685:H686)</f>
        <v>3047</v>
      </c>
      <c r="I684" s="86">
        <f t="shared" si="253"/>
        <v>-93</v>
      </c>
      <c r="J684" s="87">
        <f t="shared" si="254"/>
        <v>-3.05218247456515</v>
      </c>
      <c r="K684" s="121">
        <f>SUM(K685:K686)</f>
        <v>3000</v>
      </c>
      <c r="L684" s="88">
        <f t="shared" si="255"/>
        <v>400</v>
      </c>
      <c r="M684" s="87">
        <f t="shared" si="256"/>
        <v>15.3846153846154</v>
      </c>
      <c r="N684" s="122"/>
    </row>
    <row r="685" s="3" customFormat="1" spans="1:14">
      <c r="A685" s="83" t="s">
        <v>735</v>
      </c>
      <c r="B685" s="84">
        <v>2300601</v>
      </c>
      <c r="C685" s="125" t="s">
        <v>741</v>
      </c>
      <c r="D685" s="124">
        <v>2141</v>
      </c>
      <c r="E685" s="124">
        <v>2141</v>
      </c>
      <c r="F685" s="86">
        <v>2055</v>
      </c>
      <c r="G685" s="87">
        <f t="shared" si="252"/>
        <v>95.9831854273704</v>
      </c>
      <c r="H685" s="88">
        <v>2158</v>
      </c>
      <c r="I685" s="86">
        <f t="shared" si="253"/>
        <v>-103</v>
      </c>
      <c r="J685" s="87">
        <f t="shared" si="254"/>
        <v>-4.77293790546803</v>
      </c>
      <c r="K685" s="131">
        <v>2000</v>
      </c>
      <c r="L685" s="88">
        <f t="shared" si="255"/>
        <v>-141</v>
      </c>
      <c r="M685" s="87">
        <f t="shared" si="256"/>
        <v>-6.58570761326483</v>
      </c>
      <c r="N685" s="19"/>
    </row>
    <row r="686" s="3" customFormat="1" spans="1:14">
      <c r="A686" s="83" t="s">
        <v>735</v>
      </c>
      <c r="B686" s="84">
        <v>2300602</v>
      </c>
      <c r="C686" s="125" t="s">
        <v>742</v>
      </c>
      <c r="D686" s="124">
        <v>459</v>
      </c>
      <c r="E686" s="124">
        <v>459</v>
      </c>
      <c r="F686" s="86">
        <v>899</v>
      </c>
      <c r="G686" s="87">
        <f t="shared" si="252"/>
        <v>195.860566448802</v>
      </c>
      <c r="H686" s="88">
        <v>889</v>
      </c>
      <c r="I686" s="86">
        <f t="shared" si="253"/>
        <v>10</v>
      </c>
      <c r="J686" s="87">
        <f t="shared" si="254"/>
        <v>1.12485939257593</v>
      </c>
      <c r="K686" s="131">
        <v>1000</v>
      </c>
      <c r="L686" s="88">
        <f t="shared" si="255"/>
        <v>541</v>
      </c>
      <c r="M686" s="87">
        <f t="shared" si="256"/>
        <v>117.864923747277</v>
      </c>
      <c r="N686" s="19"/>
    </row>
    <row r="687" s="3" customFormat="1" spans="1:14">
      <c r="A687" s="83" t="s">
        <v>737</v>
      </c>
      <c r="B687" s="84"/>
      <c r="C687" s="85" t="s">
        <v>743</v>
      </c>
      <c r="D687" s="120"/>
      <c r="E687" s="120"/>
      <c r="F687" s="120"/>
      <c r="G687" s="87">
        <f t="shared" si="252"/>
        <v>0</v>
      </c>
      <c r="H687" s="121"/>
      <c r="I687" s="86">
        <f t="shared" si="253"/>
        <v>0</v>
      </c>
      <c r="J687" s="87">
        <f t="shared" si="254"/>
        <v>0</v>
      </c>
      <c r="K687" s="121"/>
      <c r="L687" s="88">
        <f t="shared" si="255"/>
        <v>0</v>
      </c>
      <c r="M687" s="87">
        <f t="shared" si="256"/>
        <v>0</v>
      </c>
      <c r="N687" s="122"/>
    </row>
    <row r="688" s="3" customFormat="1" spans="1:14">
      <c r="A688" s="83" t="s">
        <v>744</v>
      </c>
      <c r="B688" s="84">
        <v>23001</v>
      </c>
      <c r="C688" s="85" t="s">
        <v>745</v>
      </c>
      <c r="D688" s="120">
        <f t="shared" ref="D688:F688" si="269">SUM(D689:D694)</f>
        <v>0</v>
      </c>
      <c r="E688" s="120">
        <f t="shared" si="269"/>
        <v>0</v>
      </c>
      <c r="F688" s="120">
        <f t="shared" si="269"/>
        <v>0</v>
      </c>
      <c r="G688" s="87">
        <f t="shared" si="252"/>
        <v>0</v>
      </c>
      <c r="H688" s="121">
        <f>SUM(H689:H694)</f>
        <v>0</v>
      </c>
      <c r="I688" s="86">
        <f t="shared" si="253"/>
        <v>0</v>
      </c>
      <c r="J688" s="87">
        <f t="shared" si="254"/>
        <v>0</v>
      </c>
      <c r="K688" s="121">
        <f>SUM(K689:K694)</f>
        <v>0</v>
      </c>
      <c r="L688" s="88">
        <f t="shared" si="255"/>
        <v>0</v>
      </c>
      <c r="M688" s="87">
        <f t="shared" si="256"/>
        <v>0</v>
      </c>
      <c r="N688" s="122"/>
    </row>
    <row r="689" s="3" customFormat="1" hidden="1" spans="1:14">
      <c r="A689" s="83" t="s">
        <v>735</v>
      </c>
      <c r="B689" s="84">
        <v>2300102</v>
      </c>
      <c r="C689" s="125" t="s">
        <v>746</v>
      </c>
      <c r="D689" s="124"/>
      <c r="E689" s="124"/>
      <c r="F689" s="86"/>
      <c r="G689" s="87">
        <f t="shared" si="252"/>
        <v>0</v>
      </c>
      <c r="H689" s="88"/>
      <c r="I689" s="86">
        <f t="shared" si="253"/>
        <v>0</v>
      </c>
      <c r="J689" s="87">
        <f t="shared" si="254"/>
        <v>0</v>
      </c>
      <c r="K689" s="131"/>
      <c r="L689" s="88">
        <f t="shared" si="255"/>
        <v>0</v>
      </c>
      <c r="M689" s="87">
        <f t="shared" si="256"/>
        <v>0</v>
      </c>
      <c r="N689" s="19"/>
    </row>
    <row r="690" s="3" customFormat="1" hidden="1" spans="1:14">
      <c r="A690" s="83" t="s">
        <v>735</v>
      </c>
      <c r="B690" s="84">
        <v>2300103</v>
      </c>
      <c r="C690" s="125" t="s">
        <v>747</v>
      </c>
      <c r="D690" s="124"/>
      <c r="E690" s="124"/>
      <c r="F690" s="86"/>
      <c r="G690" s="87">
        <f t="shared" si="252"/>
        <v>0</v>
      </c>
      <c r="H690" s="88"/>
      <c r="I690" s="86">
        <f t="shared" si="253"/>
        <v>0</v>
      </c>
      <c r="J690" s="87">
        <f t="shared" si="254"/>
        <v>0</v>
      </c>
      <c r="K690" s="131"/>
      <c r="L690" s="88">
        <f t="shared" si="255"/>
        <v>0</v>
      </c>
      <c r="M690" s="87">
        <f t="shared" si="256"/>
        <v>0</v>
      </c>
      <c r="N690" s="19"/>
    </row>
    <row r="691" s="3" customFormat="1" hidden="1" spans="1:14">
      <c r="A691" s="83" t="s">
        <v>735</v>
      </c>
      <c r="B691" s="84">
        <v>2300104</v>
      </c>
      <c r="C691" s="125" t="s">
        <v>748</v>
      </c>
      <c r="D691" s="124"/>
      <c r="E691" s="124"/>
      <c r="F691" s="86"/>
      <c r="G691" s="87">
        <f t="shared" si="252"/>
        <v>0</v>
      </c>
      <c r="H691" s="88"/>
      <c r="I691" s="86">
        <f t="shared" si="253"/>
        <v>0</v>
      </c>
      <c r="J691" s="87">
        <f t="shared" si="254"/>
        <v>0</v>
      </c>
      <c r="K691" s="131"/>
      <c r="L691" s="88">
        <f t="shared" si="255"/>
        <v>0</v>
      </c>
      <c r="M691" s="87">
        <f t="shared" si="256"/>
        <v>0</v>
      </c>
      <c r="N691" s="19"/>
    </row>
    <row r="692" s="3" customFormat="1" hidden="1" spans="1:14">
      <c r="A692" s="83" t="s">
        <v>735</v>
      </c>
      <c r="B692" s="84">
        <v>2300105</v>
      </c>
      <c r="C692" s="125" t="s">
        <v>749</v>
      </c>
      <c r="D692" s="124"/>
      <c r="E692" s="124"/>
      <c r="F692" s="86"/>
      <c r="G692" s="87">
        <f t="shared" si="252"/>
        <v>0</v>
      </c>
      <c r="H692" s="88"/>
      <c r="I692" s="86">
        <f t="shared" si="253"/>
        <v>0</v>
      </c>
      <c r="J692" s="87">
        <f t="shared" si="254"/>
        <v>0</v>
      </c>
      <c r="K692" s="131"/>
      <c r="L692" s="88">
        <f t="shared" si="255"/>
        <v>0</v>
      </c>
      <c r="M692" s="87">
        <f t="shared" si="256"/>
        <v>0</v>
      </c>
      <c r="N692" s="19"/>
    </row>
    <row r="693" s="3" customFormat="1" hidden="1" spans="1:14">
      <c r="A693" s="83" t="s">
        <v>735</v>
      </c>
      <c r="B693" s="84">
        <v>2300106</v>
      </c>
      <c r="C693" s="125" t="s">
        <v>750</v>
      </c>
      <c r="D693" s="124"/>
      <c r="E693" s="124"/>
      <c r="F693" s="86"/>
      <c r="G693" s="87">
        <f t="shared" si="252"/>
        <v>0</v>
      </c>
      <c r="H693" s="88"/>
      <c r="I693" s="86">
        <f t="shared" si="253"/>
        <v>0</v>
      </c>
      <c r="J693" s="87">
        <f t="shared" si="254"/>
        <v>0</v>
      </c>
      <c r="K693" s="131"/>
      <c r="L693" s="88">
        <f t="shared" si="255"/>
        <v>0</v>
      </c>
      <c r="M693" s="87">
        <f t="shared" si="256"/>
        <v>0</v>
      </c>
      <c r="N693" s="19"/>
    </row>
    <row r="694" s="3" customFormat="1" hidden="1" spans="1:14">
      <c r="A694" s="83" t="s">
        <v>735</v>
      </c>
      <c r="B694" s="84">
        <v>2300199</v>
      </c>
      <c r="C694" s="125" t="s">
        <v>751</v>
      </c>
      <c r="D694" s="124"/>
      <c r="E694" s="124"/>
      <c r="F694" s="86"/>
      <c r="G694" s="87">
        <f t="shared" si="252"/>
        <v>0</v>
      </c>
      <c r="H694" s="88"/>
      <c r="I694" s="86">
        <f t="shared" si="253"/>
        <v>0</v>
      </c>
      <c r="J694" s="87">
        <f t="shared" si="254"/>
        <v>0</v>
      </c>
      <c r="K694" s="131"/>
      <c r="L694" s="88">
        <f t="shared" si="255"/>
        <v>0</v>
      </c>
      <c r="M694" s="87">
        <f t="shared" si="256"/>
        <v>0</v>
      </c>
      <c r="N694" s="19"/>
    </row>
    <row r="695" s="3" customFormat="1" spans="1:14">
      <c r="A695" s="83" t="s">
        <v>744</v>
      </c>
      <c r="B695" s="84">
        <v>23002</v>
      </c>
      <c r="C695" s="85" t="s">
        <v>752</v>
      </c>
      <c r="D695" s="120">
        <f t="shared" ref="D695:F695" si="270">SUM(D696:D730)</f>
        <v>0</v>
      </c>
      <c r="E695" s="120">
        <f t="shared" si="270"/>
        <v>0</v>
      </c>
      <c r="F695" s="120">
        <f t="shared" si="270"/>
        <v>0</v>
      </c>
      <c r="G695" s="87">
        <f t="shared" si="252"/>
        <v>0</v>
      </c>
      <c r="H695" s="121">
        <f>SUM(H696:H730)</f>
        <v>0</v>
      </c>
      <c r="I695" s="86">
        <f t="shared" si="253"/>
        <v>0</v>
      </c>
      <c r="J695" s="87">
        <f t="shared" si="254"/>
        <v>0</v>
      </c>
      <c r="K695" s="121">
        <f>SUM(K696:K730)</f>
        <v>0</v>
      </c>
      <c r="L695" s="88">
        <f t="shared" si="255"/>
        <v>0</v>
      </c>
      <c r="M695" s="87">
        <f t="shared" si="256"/>
        <v>0</v>
      </c>
      <c r="N695" s="122"/>
    </row>
    <row r="696" s="3" customFormat="1" hidden="1" spans="1:14">
      <c r="A696" s="83" t="s">
        <v>735</v>
      </c>
      <c r="B696" s="84">
        <v>2300201</v>
      </c>
      <c r="C696" s="125" t="s">
        <v>753</v>
      </c>
      <c r="D696" s="124"/>
      <c r="E696" s="124"/>
      <c r="F696" s="120"/>
      <c r="G696" s="87">
        <f t="shared" si="252"/>
        <v>0</v>
      </c>
      <c r="H696" s="121"/>
      <c r="I696" s="86">
        <f t="shared" si="253"/>
        <v>0</v>
      </c>
      <c r="J696" s="87">
        <f t="shared" si="254"/>
        <v>0</v>
      </c>
      <c r="K696" s="131"/>
      <c r="L696" s="88">
        <f t="shared" si="255"/>
        <v>0</v>
      </c>
      <c r="M696" s="87">
        <f t="shared" si="256"/>
        <v>0</v>
      </c>
      <c r="N696" s="19"/>
    </row>
    <row r="697" s="3" customFormat="1" hidden="1" spans="1:14">
      <c r="A697" s="83" t="s">
        <v>735</v>
      </c>
      <c r="B697" s="84">
        <v>2300202</v>
      </c>
      <c r="C697" s="125" t="s">
        <v>754</v>
      </c>
      <c r="D697" s="124"/>
      <c r="E697" s="124"/>
      <c r="F697" s="86"/>
      <c r="G697" s="87">
        <f t="shared" si="252"/>
        <v>0</v>
      </c>
      <c r="H697" s="88"/>
      <c r="I697" s="86">
        <f t="shared" si="253"/>
        <v>0</v>
      </c>
      <c r="J697" s="87">
        <f t="shared" si="254"/>
        <v>0</v>
      </c>
      <c r="K697" s="131"/>
      <c r="L697" s="88">
        <f t="shared" si="255"/>
        <v>0</v>
      </c>
      <c r="M697" s="87">
        <f t="shared" si="256"/>
        <v>0</v>
      </c>
      <c r="N697" s="19"/>
    </row>
    <row r="698" s="3" customFormat="1" hidden="1" spans="1:14">
      <c r="A698" s="83" t="s">
        <v>735</v>
      </c>
      <c r="B698" s="84">
        <v>2300207</v>
      </c>
      <c r="C698" s="125" t="s">
        <v>755</v>
      </c>
      <c r="D698" s="124"/>
      <c r="E698" s="124"/>
      <c r="F698" s="86"/>
      <c r="G698" s="87">
        <f t="shared" si="252"/>
        <v>0</v>
      </c>
      <c r="H698" s="88"/>
      <c r="I698" s="86">
        <f t="shared" si="253"/>
        <v>0</v>
      </c>
      <c r="J698" s="87">
        <f t="shared" si="254"/>
        <v>0</v>
      </c>
      <c r="K698" s="131"/>
      <c r="L698" s="88">
        <f t="shared" si="255"/>
        <v>0</v>
      </c>
      <c r="M698" s="87">
        <f t="shared" si="256"/>
        <v>0</v>
      </c>
      <c r="N698" s="19"/>
    </row>
    <row r="699" s="3" customFormat="1" hidden="1" spans="1:14">
      <c r="A699" s="83" t="s">
        <v>735</v>
      </c>
      <c r="B699" s="84">
        <v>2300208</v>
      </c>
      <c r="C699" s="125" t="s">
        <v>756</v>
      </c>
      <c r="D699" s="124"/>
      <c r="E699" s="124"/>
      <c r="F699" s="120"/>
      <c r="G699" s="87">
        <f t="shared" si="252"/>
        <v>0</v>
      </c>
      <c r="H699" s="121"/>
      <c r="I699" s="86">
        <f t="shared" si="253"/>
        <v>0</v>
      </c>
      <c r="J699" s="87">
        <f t="shared" si="254"/>
        <v>0</v>
      </c>
      <c r="K699" s="131"/>
      <c r="L699" s="88">
        <f t="shared" si="255"/>
        <v>0</v>
      </c>
      <c r="M699" s="87">
        <f t="shared" si="256"/>
        <v>0</v>
      </c>
      <c r="N699" s="19"/>
    </row>
    <row r="700" s="3" customFormat="1" hidden="1" spans="1:14">
      <c r="A700" s="83" t="s">
        <v>735</v>
      </c>
      <c r="B700" s="84">
        <v>2300212</v>
      </c>
      <c r="C700" s="125" t="s">
        <v>757</v>
      </c>
      <c r="D700" s="124"/>
      <c r="E700" s="124"/>
      <c r="F700" s="86"/>
      <c r="G700" s="87">
        <f t="shared" si="252"/>
        <v>0</v>
      </c>
      <c r="H700" s="88"/>
      <c r="I700" s="86">
        <f t="shared" si="253"/>
        <v>0</v>
      </c>
      <c r="J700" s="87">
        <f t="shared" si="254"/>
        <v>0</v>
      </c>
      <c r="K700" s="131"/>
      <c r="L700" s="88">
        <f t="shared" si="255"/>
        <v>0</v>
      </c>
      <c r="M700" s="87">
        <f t="shared" si="256"/>
        <v>0</v>
      </c>
      <c r="N700" s="19"/>
    </row>
    <row r="701" s="3" customFormat="1" hidden="1" spans="1:14">
      <c r="A701" s="83" t="s">
        <v>735</v>
      </c>
      <c r="B701" s="84">
        <v>2300214</v>
      </c>
      <c r="C701" s="125" t="s">
        <v>758</v>
      </c>
      <c r="D701" s="124"/>
      <c r="E701" s="124"/>
      <c r="F701" s="86"/>
      <c r="G701" s="87">
        <f t="shared" si="252"/>
        <v>0</v>
      </c>
      <c r="H701" s="88"/>
      <c r="I701" s="86">
        <f t="shared" si="253"/>
        <v>0</v>
      </c>
      <c r="J701" s="87">
        <f t="shared" si="254"/>
        <v>0</v>
      </c>
      <c r="K701" s="131"/>
      <c r="L701" s="88">
        <f t="shared" si="255"/>
        <v>0</v>
      </c>
      <c r="M701" s="87">
        <f t="shared" si="256"/>
        <v>0</v>
      </c>
      <c r="N701" s="19"/>
    </row>
    <row r="702" s="3" customFormat="1" hidden="1" spans="1:14">
      <c r="A702" s="83" t="s">
        <v>735</v>
      </c>
      <c r="B702" s="84">
        <v>2300225</v>
      </c>
      <c r="C702" s="125" t="s">
        <v>759</v>
      </c>
      <c r="D702" s="124"/>
      <c r="E702" s="124"/>
      <c r="F702" s="86"/>
      <c r="G702" s="87">
        <f t="shared" si="252"/>
        <v>0</v>
      </c>
      <c r="H702" s="88"/>
      <c r="I702" s="86">
        <f t="shared" si="253"/>
        <v>0</v>
      </c>
      <c r="J702" s="87">
        <f t="shared" si="254"/>
        <v>0</v>
      </c>
      <c r="K702" s="131"/>
      <c r="L702" s="88">
        <f t="shared" si="255"/>
        <v>0</v>
      </c>
      <c r="M702" s="87">
        <f t="shared" si="256"/>
        <v>0</v>
      </c>
      <c r="N702" s="19"/>
    </row>
    <row r="703" s="3" customFormat="1" hidden="1" spans="1:14">
      <c r="A703" s="83" t="s">
        <v>735</v>
      </c>
      <c r="B703" s="84">
        <v>2300226</v>
      </c>
      <c r="C703" s="125" t="s">
        <v>760</v>
      </c>
      <c r="D703" s="124"/>
      <c r="E703" s="124"/>
      <c r="F703" s="120"/>
      <c r="G703" s="87">
        <f t="shared" si="252"/>
        <v>0</v>
      </c>
      <c r="H703" s="121"/>
      <c r="I703" s="86">
        <f t="shared" si="253"/>
        <v>0</v>
      </c>
      <c r="J703" s="87">
        <f t="shared" si="254"/>
        <v>0</v>
      </c>
      <c r="K703" s="131"/>
      <c r="L703" s="88">
        <f t="shared" si="255"/>
        <v>0</v>
      </c>
      <c r="M703" s="87">
        <f t="shared" si="256"/>
        <v>0</v>
      </c>
      <c r="N703" s="19"/>
    </row>
    <row r="704" s="3" customFormat="1" hidden="1" spans="1:14">
      <c r="A704" s="83" t="s">
        <v>735</v>
      </c>
      <c r="B704" s="84">
        <v>2300227</v>
      </c>
      <c r="C704" s="125" t="s">
        <v>761</v>
      </c>
      <c r="D704" s="124"/>
      <c r="E704" s="124"/>
      <c r="F704" s="86"/>
      <c r="G704" s="87">
        <f t="shared" si="252"/>
        <v>0</v>
      </c>
      <c r="H704" s="88"/>
      <c r="I704" s="86">
        <f t="shared" si="253"/>
        <v>0</v>
      </c>
      <c r="J704" s="87">
        <f t="shared" si="254"/>
        <v>0</v>
      </c>
      <c r="K704" s="131"/>
      <c r="L704" s="88">
        <f t="shared" si="255"/>
        <v>0</v>
      </c>
      <c r="M704" s="87">
        <f t="shared" si="256"/>
        <v>0</v>
      </c>
      <c r="N704" s="19"/>
    </row>
    <row r="705" s="3" customFormat="1" hidden="1" spans="1:14">
      <c r="A705" s="83" t="s">
        <v>735</v>
      </c>
      <c r="B705" s="84">
        <v>2300228</v>
      </c>
      <c r="C705" s="125" t="s">
        <v>762</v>
      </c>
      <c r="D705" s="124"/>
      <c r="E705" s="124"/>
      <c r="F705" s="86"/>
      <c r="G705" s="87">
        <f t="shared" si="252"/>
        <v>0</v>
      </c>
      <c r="H705" s="88"/>
      <c r="I705" s="86">
        <f t="shared" si="253"/>
        <v>0</v>
      </c>
      <c r="J705" s="87">
        <f t="shared" si="254"/>
        <v>0</v>
      </c>
      <c r="K705" s="131"/>
      <c r="L705" s="88">
        <f t="shared" si="255"/>
        <v>0</v>
      </c>
      <c r="M705" s="87">
        <f t="shared" si="256"/>
        <v>0</v>
      </c>
      <c r="N705" s="19"/>
    </row>
    <row r="706" s="3" customFormat="1" hidden="1" spans="1:14">
      <c r="A706" s="83" t="s">
        <v>735</v>
      </c>
      <c r="B706" s="84">
        <v>2300229</v>
      </c>
      <c r="C706" s="125" t="s">
        <v>763</v>
      </c>
      <c r="D706" s="124"/>
      <c r="E706" s="124"/>
      <c r="F706" s="86"/>
      <c r="G706" s="87">
        <f t="shared" si="252"/>
        <v>0</v>
      </c>
      <c r="H706" s="88"/>
      <c r="I706" s="86">
        <f t="shared" si="253"/>
        <v>0</v>
      </c>
      <c r="J706" s="87">
        <f t="shared" si="254"/>
        <v>0</v>
      </c>
      <c r="K706" s="131"/>
      <c r="L706" s="88">
        <f t="shared" si="255"/>
        <v>0</v>
      </c>
      <c r="M706" s="87">
        <f t="shared" si="256"/>
        <v>0</v>
      </c>
      <c r="N706" s="19"/>
    </row>
    <row r="707" s="3" customFormat="1" hidden="1" spans="1:14">
      <c r="A707" s="83" t="s">
        <v>735</v>
      </c>
      <c r="B707" s="84">
        <v>2300230</v>
      </c>
      <c r="C707" s="125" t="s">
        <v>764</v>
      </c>
      <c r="D707" s="124"/>
      <c r="E707" s="124"/>
      <c r="F707" s="86"/>
      <c r="G707" s="87">
        <f t="shared" si="252"/>
        <v>0</v>
      </c>
      <c r="H707" s="88"/>
      <c r="I707" s="86">
        <f t="shared" si="253"/>
        <v>0</v>
      </c>
      <c r="J707" s="87">
        <f t="shared" si="254"/>
        <v>0</v>
      </c>
      <c r="K707" s="131"/>
      <c r="L707" s="88">
        <f t="shared" si="255"/>
        <v>0</v>
      </c>
      <c r="M707" s="87">
        <f t="shared" si="256"/>
        <v>0</v>
      </c>
      <c r="N707" s="19"/>
    </row>
    <row r="708" s="3" customFormat="1" hidden="1" spans="1:14">
      <c r="A708" s="83" t="s">
        <v>735</v>
      </c>
      <c r="B708" s="84">
        <v>2300231</v>
      </c>
      <c r="C708" s="125" t="s">
        <v>765</v>
      </c>
      <c r="D708" s="124"/>
      <c r="E708" s="124"/>
      <c r="F708" s="86"/>
      <c r="G708" s="87">
        <f t="shared" si="252"/>
        <v>0</v>
      </c>
      <c r="H708" s="88"/>
      <c r="I708" s="86">
        <f t="shared" si="253"/>
        <v>0</v>
      </c>
      <c r="J708" s="87">
        <f t="shared" si="254"/>
        <v>0</v>
      </c>
      <c r="K708" s="131"/>
      <c r="L708" s="88">
        <f t="shared" si="255"/>
        <v>0</v>
      </c>
      <c r="M708" s="87">
        <f t="shared" si="256"/>
        <v>0</v>
      </c>
      <c r="N708" s="19"/>
    </row>
    <row r="709" s="3" customFormat="1" hidden="1" spans="1:14">
      <c r="A709" s="83" t="s">
        <v>735</v>
      </c>
      <c r="B709" s="84">
        <v>2300241</v>
      </c>
      <c r="C709" s="125" t="s">
        <v>766</v>
      </c>
      <c r="D709" s="124"/>
      <c r="E709" s="124"/>
      <c r="F709" s="120"/>
      <c r="G709" s="87">
        <f t="shared" si="252"/>
        <v>0</v>
      </c>
      <c r="H709" s="121"/>
      <c r="I709" s="86">
        <f t="shared" si="253"/>
        <v>0</v>
      </c>
      <c r="J709" s="87">
        <f t="shared" si="254"/>
        <v>0</v>
      </c>
      <c r="K709" s="131"/>
      <c r="L709" s="88">
        <f t="shared" si="255"/>
        <v>0</v>
      </c>
      <c r="M709" s="87">
        <f t="shared" si="256"/>
        <v>0</v>
      </c>
      <c r="N709" s="19"/>
    </row>
    <row r="710" s="3" customFormat="1" hidden="1" spans="1:14">
      <c r="A710" s="83" t="s">
        <v>735</v>
      </c>
      <c r="B710" s="84">
        <v>2300242</v>
      </c>
      <c r="C710" s="125" t="s">
        <v>767</v>
      </c>
      <c r="D710" s="124"/>
      <c r="E710" s="124"/>
      <c r="F710" s="86"/>
      <c r="G710" s="87">
        <f t="shared" si="252"/>
        <v>0</v>
      </c>
      <c r="H710" s="88"/>
      <c r="I710" s="86">
        <f t="shared" si="253"/>
        <v>0</v>
      </c>
      <c r="J710" s="87">
        <f t="shared" si="254"/>
        <v>0</v>
      </c>
      <c r="K710" s="131"/>
      <c r="L710" s="88">
        <f t="shared" si="255"/>
        <v>0</v>
      </c>
      <c r="M710" s="87">
        <f t="shared" si="256"/>
        <v>0</v>
      </c>
      <c r="N710" s="19"/>
    </row>
    <row r="711" s="3" customFormat="1" hidden="1" spans="1:14">
      <c r="A711" s="83" t="s">
        <v>735</v>
      </c>
      <c r="B711" s="84">
        <v>2300243</v>
      </c>
      <c r="C711" s="125" t="s">
        <v>768</v>
      </c>
      <c r="D711" s="124"/>
      <c r="E711" s="124"/>
      <c r="F711" s="120"/>
      <c r="G711" s="87">
        <f t="shared" ref="G711:G761" si="271">IF(E711=0,,F711/E711*100)</f>
        <v>0</v>
      </c>
      <c r="H711" s="121"/>
      <c r="I711" s="86">
        <f t="shared" ref="I711:I761" si="272">F711-H711</f>
        <v>0</v>
      </c>
      <c r="J711" s="87">
        <f t="shared" ref="J711:J761" si="273">IF(H711=0,,I711/H711*100)</f>
        <v>0</v>
      </c>
      <c r="K711" s="131"/>
      <c r="L711" s="88">
        <f t="shared" ref="L711:L761" si="274">K711-D711</f>
        <v>0</v>
      </c>
      <c r="M711" s="87">
        <f t="shared" ref="M711:M761" si="275">IF(D711=0,,L711/D711*100)</f>
        <v>0</v>
      </c>
      <c r="N711" s="19"/>
    </row>
    <row r="712" s="3" customFormat="1" hidden="1" spans="1:14">
      <c r="A712" s="83" t="s">
        <v>735</v>
      </c>
      <c r="B712" s="84">
        <v>2300244</v>
      </c>
      <c r="C712" s="125" t="s">
        <v>769</v>
      </c>
      <c r="D712" s="124"/>
      <c r="E712" s="124"/>
      <c r="F712" s="120"/>
      <c r="G712" s="87">
        <f t="shared" si="271"/>
        <v>0</v>
      </c>
      <c r="H712" s="121"/>
      <c r="I712" s="86">
        <f t="shared" si="272"/>
        <v>0</v>
      </c>
      <c r="J712" s="87">
        <f t="shared" si="273"/>
        <v>0</v>
      </c>
      <c r="K712" s="131"/>
      <c r="L712" s="88">
        <f t="shared" si="274"/>
        <v>0</v>
      </c>
      <c r="M712" s="87">
        <f t="shared" si="275"/>
        <v>0</v>
      </c>
      <c r="N712" s="19"/>
    </row>
    <row r="713" s="3" customFormat="1" hidden="1" spans="1:14">
      <c r="A713" s="83" t="s">
        <v>735</v>
      </c>
      <c r="B713" s="84">
        <v>2300245</v>
      </c>
      <c r="C713" s="125" t="s">
        <v>770</v>
      </c>
      <c r="D713" s="124"/>
      <c r="E713" s="124"/>
      <c r="F713" s="120"/>
      <c r="G713" s="87">
        <f t="shared" si="271"/>
        <v>0</v>
      </c>
      <c r="H713" s="121"/>
      <c r="I713" s="86">
        <f t="shared" si="272"/>
        <v>0</v>
      </c>
      <c r="J713" s="87">
        <f t="shared" si="273"/>
        <v>0</v>
      </c>
      <c r="K713" s="131"/>
      <c r="L713" s="88">
        <f t="shared" si="274"/>
        <v>0</v>
      </c>
      <c r="M713" s="87">
        <f t="shared" si="275"/>
        <v>0</v>
      </c>
      <c r="N713" s="19"/>
    </row>
    <row r="714" s="3" customFormat="1" hidden="1" spans="1:14">
      <c r="A714" s="83" t="s">
        <v>735</v>
      </c>
      <c r="B714" s="84">
        <v>2300246</v>
      </c>
      <c r="C714" s="125" t="s">
        <v>771</v>
      </c>
      <c r="D714" s="124"/>
      <c r="E714" s="124"/>
      <c r="F714" s="120"/>
      <c r="G714" s="87">
        <f t="shared" si="271"/>
        <v>0</v>
      </c>
      <c r="H714" s="121"/>
      <c r="I714" s="86">
        <f t="shared" si="272"/>
        <v>0</v>
      </c>
      <c r="J714" s="87">
        <f t="shared" si="273"/>
        <v>0</v>
      </c>
      <c r="K714" s="131"/>
      <c r="L714" s="88">
        <f t="shared" si="274"/>
        <v>0</v>
      </c>
      <c r="M714" s="87">
        <f t="shared" si="275"/>
        <v>0</v>
      </c>
      <c r="N714" s="19"/>
    </row>
    <row r="715" s="3" customFormat="1" hidden="1" spans="1:14">
      <c r="A715" s="83" t="s">
        <v>735</v>
      </c>
      <c r="B715" s="84">
        <v>2300247</v>
      </c>
      <c r="C715" s="125" t="s">
        <v>772</v>
      </c>
      <c r="D715" s="124"/>
      <c r="E715" s="124"/>
      <c r="F715" s="86"/>
      <c r="G715" s="87">
        <f t="shared" si="271"/>
        <v>0</v>
      </c>
      <c r="H715" s="88"/>
      <c r="I715" s="86">
        <f t="shared" si="272"/>
        <v>0</v>
      </c>
      <c r="J715" s="87">
        <f t="shared" si="273"/>
        <v>0</v>
      </c>
      <c r="K715" s="131"/>
      <c r="L715" s="88">
        <f t="shared" si="274"/>
        <v>0</v>
      </c>
      <c r="M715" s="87">
        <f t="shared" si="275"/>
        <v>0</v>
      </c>
      <c r="N715" s="19"/>
    </row>
    <row r="716" s="3" customFormat="1" hidden="1" spans="1:14">
      <c r="A716" s="83" t="s">
        <v>735</v>
      </c>
      <c r="B716" s="84">
        <v>2300248</v>
      </c>
      <c r="C716" s="125" t="s">
        <v>773</v>
      </c>
      <c r="D716" s="124"/>
      <c r="E716" s="124"/>
      <c r="F716" s="120"/>
      <c r="G716" s="87">
        <f t="shared" si="271"/>
        <v>0</v>
      </c>
      <c r="H716" s="121"/>
      <c r="I716" s="86">
        <f t="shared" si="272"/>
        <v>0</v>
      </c>
      <c r="J716" s="87">
        <f t="shared" si="273"/>
        <v>0</v>
      </c>
      <c r="K716" s="131"/>
      <c r="L716" s="88">
        <f t="shared" si="274"/>
        <v>0</v>
      </c>
      <c r="M716" s="87">
        <f t="shared" si="275"/>
        <v>0</v>
      </c>
      <c r="N716" s="19"/>
    </row>
    <row r="717" s="3" customFormat="1" hidden="1" spans="1:14">
      <c r="A717" s="83" t="s">
        <v>735</v>
      </c>
      <c r="B717" s="84">
        <v>2300249</v>
      </c>
      <c r="C717" s="125" t="s">
        <v>774</v>
      </c>
      <c r="D717" s="124"/>
      <c r="E717" s="124"/>
      <c r="F717" s="86"/>
      <c r="G717" s="87">
        <f t="shared" si="271"/>
        <v>0</v>
      </c>
      <c r="H717" s="88"/>
      <c r="I717" s="86">
        <f t="shared" si="272"/>
        <v>0</v>
      </c>
      <c r="J717" s="87">
        <f t="shared" si="273"/>
        <v>0</v>
      </c>
      <c r="K717" s="131"/>
      <c r="L717" s="88">
        <f t="shared" si="274"/>
        <v>0</v>
      </c>
      <c r="M717" s="87">
        <f t="shared" si="275"/>
        <v>0</v>
      </c>
      <c r="N717" s="19"/>
    </row>
    <row r="718" s="3" customFormat="1" hidden="1" spans="1:14">
      <c r="A718" s="83" t="s">
        <v>735</v>
      </c>
      <c r="B718" s="84">
        <v>2300250</v>
      </c>
      <c r="C718" s="125" t="s">
        <v>775</v>
      </c>
      <c r="D718" s="124"/>
      <c r="E718" s="124"/>
      <c r="F718" s="86"/>
      <c r="G718" s="87">
        <f t="shared" si="271"/>
        <v>0</v>
      </c>
      <c r="H718" s="88"/>
      <c r="I718" s="86">
        <f t="shared" si="272"/>
        <v>0</v>
      </c>
      <c r="J718" s="87">
        <f t="shared" si="273"/>
        <v>0</v>
      </c>
      <c r="K718" s="131"/>
      <c r="L718" s="88">
        <f t="shared" si="274"/>
        <v>0</v>
      </c>
      <c r="M718" s="87">
        <f t="shared" si="275"/>
        <v>0</v>
      </c>
      <c r="N718" s="19"/>
    </row>
    <row r="719" s="3" customFormat="1" hidden="1" spans="1:14">
      <c r="A719" s="83" t="s">
        <v>735</v>
      </c>
      <c r="B719" s="84">
        <v>2300251</v>
      </c>
      <c r="C719" s="125" t="s">
        <v>776</v>
      </c>
      <c r="D719" s="124"/>
      <c r="E719" s="124"/>
      <c r="F719" s="86"/>
      <c r="G719" s="87">
        <f t="shared" si="271"/>
        <v>0</v>
      </c>
      <c r="H719" s="88"/>
      <c r="I719" s="86">
        <f t="shared" si="272"/>
        <v>0</v>
      </c>
      <c r="J719" s="87">
        <f t="shared" si="273"/>
        <v>0</v>
      </c>
      <c r="K719" s="131"/>
      <c r="L719" s="88">
        <f t="shared" si="274"/>
        <v>0</v>
      </c>
      <c r="M719" s="87">
        <f t="shared" si="275"/>
        <v>0</v>
      </c>
      <c r="N719" s="19"/>
    </row>
    <row r="720" s="3" customFormat="1" hidden="1" spans="1:14">
      <c r="A720" s="83" t="s">
        <v>735</v>
      </c>
      <c r="B720" s="84">
        <v>2300252</v>
      </c>
      <c r="C720" s="125" t="s">
        <v>777</v>
      </c>
      <c r="D720" s="124"/>
      <c r="E720" s="124"/>
      <c r="F720" s="86"/>
      <c r="G720" s="87">
        <f t="shared" si="271"/>
        <v>0</v>
      </c>
      <c r="H720" s="88"/>
      <c r="I720" s="86">
        <f t="shared" si="272"/>
        <v>0</v>
      </c>
      <c r="J720" s="87">
        <f t="shared" si="273"/>
        <v>0</v>
      </c>
      <c r="K720" s="131"/>
      <c r="L720" s="88">
        <f t="shared" si="274"/>
        <v>0</v>
      </c>
      <c r="M720" s="87">
        <f t="shared" si="275"/>
        <v>0</v>
      </c>
      <c r="N720" s="19"/>
    </row>
    <row r="721" s="3" customFormat="1" hidden="1" spans="1:14">
      <c r="A721" s="83" t="s">
        <v>735</v>
      </c>
      <c r="B721" s="84">
        <v>2300253</v>
      </c>
      <c r="C721" s="125" t="s">
        <v>778</v>
      </c>
      <c r="D721" s="124"/>
      <c r="E721" s="124"/>
      <c r="F721" s="120"/>
      <c r="G721" s="87">
        <f t="shared" si="271"/>
        <v>0</v>
      </c>
      <c r="H721" s="121"/>
      <c r="I721" s="86">
        <f t="shared" si="272"/>
        <v>0</v>
      </c>
      <c r="J721" s="87">
        <f t="shared" si="273"/>
        <v>0</v>
      </c>
      <c r="K721" s="131"/>
      <c r="L721" s="88">
        <f t="shared" si="274"/>
        <v>0</v>
      </c>
      <c r="M721" s="87">
        <f t="shared" si="275"/>
        <v>0</v>
      </c>
      <c r="N721" s="19"/>
    </row>
    <row r="722" s="3" customFormat="1" hidden="1" spans="1:14">
      <c r="A722" s="83" t="s">
        <v>735</v>
      </c>
      <c r="B722" s="84">
        <v>2300254</v>
      </c>
      <c r="C722" s="125" t="s">
        <v>779</v>
      </c>
      <c r="D722" s="124"/>
      <c r="E722" s="124"/>
      <c r="F722" s="120"/>
      <c r="G722" s="87">
        <f t="shared" si="271"/>
        <v>0</v>
      </c>
      <c r="H722" s="121"/>
      <c r="I722" s="86">
        <f t="shared" si="272"/>
        <v>0</v>
      </c>
      <c r="J722" s="87">
        <f t="shared" si="273"/>
        <v>0</v>
      </c>
      <c r="K722" s="131"/>
      <c r="L722" s="88">
        <f t="shared" si="274"/>
        <v>0</v>
      </c>
      <c r="M722" s="87">
        <f t="shared" si="275"/>
        <v>0</v>
      </c>
      <c r="N722" s="19"/>
    </row>
    <row r="723" s="3" customFormat="1" hidden="1" spans="1:14">
      <c r="A723" s="83" t="s">
        <v>735</v>
      </c>
      <c r="B723" s="84">
        <v>2300255</v>
      </c>
      <c r="C723" s="125" t="s">
        <v>780</v>
      </c>
      <c r="D723" s="124"/>
      <c r="E723" s="124"/>
      <c r="F723" s="86"/>
      <c r="G723" s="87">
        <f t="shared" si="271"/>
        <v>0</v>
      </c>
      <c r="H723" s="88"/>
      <c r="I723" s="86">
        <f t="shared" si="272"/>
        <v>0</v>
      </c>
      <c r="J723" s="87">
        <f t="shared" si="273"/>
        <v>0</v>
      </c>
      <c r="K723" s="131"/>
      <c r="L723" s="88">
        <f t="shared" si="274"/>
        <v>0</v>
      </c>
      <c r="M723" s="87">
        <f t="shared" si="275"/>
        <v>0</v>
      </c>
      <c r="N723" s="19"/>
    </row>
    <row r="724" s="3" customFormat="1" hidden="1" spans="1:14">
      <c r="A724" s="83" t="s">
        <v>735</v>
      </c>
      <c r="B724" s="84">
        <v>2300256</v>
      </c>
      <c r="C724" s="125" t="s">
        <v>781</v>
      </c>
      <c r="D724" s="124"/>
      <c r="E724" s="124"/>
      <c r="F724" s="86"/>
      <c r="G724" s="87">
        <f t="shared" si="271"/>
        <v>0</v>
      </c>
      <c r="H724" s="88"/>
      <c r="I724" s="86">
        <f t="shared" si="272"/>
        <v>0</v>
      </c>
      <c r="J724" s="87">
        <f t="shared" si="273"/>
        <v>0</v>
      </c>
      <c r="K724" s="131"/>
      <c r="L724" s="88">
        <f t="shared" si="274"/>
        <v>0</v>
      </c>
      <c r="M724" s="87">
        <f t="shared" si="275"/>
        <v>0</v>
      </c>
      <c r="N724" s="136"/>
    </row>
    <row r="725" s="3" customFormat="1" hidden="1" spans="1:14">
      <c r="A725" s="83" t="s">
        <v>735</v>
      </c>
      <c r="B725" s="84">
        <v>2300257</v>
      </c>
      <c r="C725" s="125" t="s">
        <v>782</v>
      </c>
      <c r="D725" s="124"/>
      <c r="E725" s="124"/>
      <c r="F725" s="120"/>
      <c r="G725" s="87">
        <f t="shared" si="271"/>
        <v>0</v>
      </c>
      <c r="H725" s="121"/>
      <c r="I725" s="86">
        <f t="shared" si="272"/>
        <v>0</v>
      </c>
      <c r="J725" s="87">
        <f t="shared" si="273"/>
        <v>0</v>
      </c>
      <c r="K725" s="131"/>
      <c r="L725" s="88">
        <f t="shared" si="274"/>
        <v>0</v>
      </c>
      <c r="M725" s="87">
        <f t="shared" si="275"/>
        <v>0</v>
      </c>
      <c r="N725" s="19"/>
    </row>
    <row r="726" s="3" customFormat="1" hidden="1" spans="1:14">
      <c r="A726" s="83" t="s">
        <v>735</v>
      </c>
      <c r="B726" s="84">
        <v>2300258</v>
      </c>
      <c r="C726" s="125" t="s">
        <v>783</v>
      </c>
      <c r="D726" s="124"/>
      <c r="E726" s="124"/>
      <c r="F726" s="86"/>
      <c r="G726" s="87">
        <f t="shared" si="271"/>
        <v>0</v>
      </c>
      <c r="H726" s="88"/>
      <c r="I726" s="86">
        <f t="shared" si="272"/>
        <v>0</v>
      </c>
      <c r="J726" s="87">
        <f t="shared" si="273"/>
        <v>0</v>
      </c>
      <c r="K726" s="131"/>
      <c r="L726" s="88">
        <f t="shared" si="274"/>
        <v>0</v>
      </c>
      <c r="M726" s="87">
        <f t="shared" si="275"/>
        <v>0</v>
      </c>
      <c r="N726" s="19"/>
    </row>
    <row r="727" s="3" customFormat="1" hidden="1" spans="1:14">
      <c r="A727" s="83" t="s">
        <v>735</v>
      </c>
      <c r="B727" s="84">
        <v>2300259</v>
      </c>
      <c r="C727" s="125" t="s">
        <v>784</v>
      </c>
      <c r="D727" s="124"/>
      <c r="E727" s="124"/>
      <c r="F727" s="86"/>
      <c r="G727" s="87">
        <f t="shared" si="271"/>
        <v>0</v>
      </c>
      <c r="H727" s="88"/>
      <c r="I727" s="86">
        <f t="shared" si="272"/>
        <v>0</v>
      </c>
      <c r="J727" s="87">
        <f t="shared" si="273"/>
        <v>0</v>
      </c>
      <c r="K727" s="131"/>
      <c r="L727" s="88">
        <f t="shared" si="274"/>
        <v>0</v>
      </c>
      <c r="M727" s="87">
        <f t="shared" si="275"/>
        <v>0</v>
      </c>
      <c r="N727" s="19"/>
    </row>
    <row r="728" s="3" customFormat="1" hidden="1" spans="1:14">
      <c r="A728" s="83" t="s">
        <v>735</v>
      </c>
      <c r="B728" s="84">
        <v>2300260</v>
      </c>
      <c r="C728" s="125" t="s">
        <v>785</v>
      </c>
      <c r="D728" s="124"/>
      <c r="E728" s="124"/>
      <c r="F728" s="86"/>
      <c r="G728" s="87">
        <f t="shared" si="271"/>
        <v>0</v>
      </c>
      <c r="H728" s="88"/>
      <c r="I728" s="86">
        <f t="shared" si="272"/>
        <v>0</v>
      </c>
      <c r="J728" s="87">
        <f t="shared" si="273"/>
        <v>0</v>
      </c>
      <c r="K728" s="131"/>
      <c r="L728" s="88">
        <f t="shared" si="274"/>
        <v>0</v>
      </c>
      <c r="M728" s="87">
        <f t="shared" si="275"/>
        <v>0</v>
      </c>
      <c r="N728" s="19"/>
    </row>
    <row r="729" s="3" customFormat="1" hidden="1" spans="1:14">
      <c r="A729" s="83" t="s">
        <v>735</v>
      </c>
      <c r="B729" s="84">
        <v>2300269</v>
      </c>
      <c r="C729" s="125" t="s">
        <v>786</v>
      </c>
      <c r="D729" s="124"/>
      <c r="E729" s="124"/>
      <c r="F729" s="86"/>
      <c r="G729" s="87">
        <f t="shared" si="271"/>
        <v>0</v>
      </c>
      <c r="H729" s="88"/>
      <c r="I729" s="86">
        <f t="shared" si="272"/>
        <v>0</v>
      </c>
      <c r="J729" s="87">
        <f t="shared" si="273"/>
        <v>0</v>
      </c>
      <c r="K729" s="131"/>
      <c r="L729" s="88">
        <f t="shared" si="274"/>
        <v>0</v>
      </c>
      <c r="M729" s="87">
        <f t="shared" si="275"/>
        <v>0</v>
      </c>
      <c r="N729" s="19"/>
    </row>
    <row r="730" s="3" customFormat="1" hidden="1" spans="1:14">
      <c r="A730" s="83" t="s">
        <v>735</v>
      </c>
      <c r="B730" s="84">
        <v>2300299</v>
      </c>
      <c r="C730" s="125" t="s">
        <v>787</v>
      </c>
      <c r="D730" s="124"/>
      <c r="E730" s="124"/>
      <c r="F730" s="86"/>
      <c r="G730" s="87">
        <f t="shared" si="271"/>
        <v>0</v>
      </c>
      <c r="H730" s="88"/>
      <c r="I730" s="86">
        <f t="shared" si="272"/>
        <v>0</v>
      </c>
      <c r="J730" s="87">
        <f t="shared" si="273"/>
        <v>0</v>
      </c>
      <c r="K730" s="131"/>
      <c r="L730" s="88">
        <f t="shared" si="274"/>
        <v>0</v>
      </c>
      <c r="M730" s="87">
        <f t="shared" si="275"/>
        <v>0</v>
      </c>
      <c r="N730" s="132"/>
    </row>
    <row r="731" s="3" customFormat="1" spans="1:14">
      <c r="A731" s="83" t="s">
        <v>744</v>
      </c>
      <c r="B731" s="84">
        <v>23003</v>
      </c>
      <c r="C731" s="85" t="s">
        <v>788</v>
      </c>
      <c r="D731" s="120">
        <f t="shared" ref="D731:F731" si="276">SUM(D732:D752)</f>
        <v>0</v>
      </c>
      <c r="E731" s="120">
        <f t="shared" si="276"/>
        <v>0</v>
      </c>
      <c r="F731" s="120">
        <f t="shared" si="276"/>
        <v>0</v>
      </c>
      <c r="G731" s="87">
        <f t="shared" si="271"/>
        <v>0</v>
      </c>
      <c r="H731" s="121">
        <f>SUM(H732:H752)</f>
        <v>0</v>
      </c>
      <c r="I731" s="86">
        <f t="shared" si="272"/>
        <v>0</v>
      </c>
      <c r="J731" s="87">
        <f t="shared" si="273"/>
        <v>0</v>
      </c>
      <c r="K731" s="121">
        <f>SUM(K732:K752)</f>
        <v>0</v>
      </c>
      <c r="L731" s="88">
        <f t="shared" si="274"/>
        <v>0</v>
      </c>
      <c r="M731" s="87">
        <f t="shared" si="275"/>
        <v>0</v>
      </c>
      <c r="N731" s="122"/>
    </row>
    <row r="732" s="3" customFormat="1" hidden="1" spans="1:14">
      <c r="A732" s="83" t="s">
        <v>735</v>
      </c>
      <c r="B732" s="84">
        <v>2300301</v>
      </c>
      <c r="C732" s="125" t="s">
        <v>789</v>
      </c>
      <c r="D732" s="124"/>
      <c r="E732" s="124"/>
      <c r="F732" s="86"/>
      <c r="G732" s="87">
        <f t="shared" si="271"/>
        <v>0</v>
      </c>
      <c r="H732" s="88"/>
      <c r="I732" s="86">
        <f t="shared" si="272"/>
        <v>0</v>
      </c>
      <c r="J732" s="87">
        <f t="shared" si="273"/>
        <v>0</v>
      </c>
      <c r="K732" s="131"/>
      <c r="L732" s="88">
        <f t="shared" si="274"/>
        <v>0</v>
      </c>
      <c r="M732" s="87">
        <f t="shared" si="275"/>
        <v>0</v>
      </c>
      <c r="N732" s="132"/>
    </row>
    <row r="733" s="3" customFormat="1" hidden="1" spans="1:14">
      <c r="A733" s="83" t="s">
        <v>735</v>
      </c>
      <c r="B733" s="84">
        <v>2300302</v>
      </c>
      <c r="C733" s="125" t="s">
        <v>790</v>
      </c>
      <c r="D733" s="124"/>
      <c r="E733" s="124"/>
      <c r="F733" s="86"/>
      <c r="G733" s="87">
        <f t="shared" si="271"/>
        <v>0</v>
      </c>
      <c r="H733" s="88"/>
      <c r="I733" s="86">
        <f t="shared" si="272"/>
        <v>0</v>
      </c>
      <c r="J733" s="87">
        <f t="shared" si="273"/>
        <v>0</v>
      </c>
      <c r="K733" s="131"/>
      <c r="L733" s="88">
        <f t="shared" si="274"/>
        <v>0</v>
      </c>
      <c r="M733" s="87">
        <f t="shared" si="275"/>
        <v>0</v>
      </c>
      <c r="N733" s="19"/>
    </row>
    <row r="734" s="3" customFormat="1" hidden="1" spans="1:14">
      <c r="A734" s="83" t="s">
        <v>735</v>
      </c>
      <c r="B734" s="84">
        <v>2300303</v>
      </c>
      <c r="C734" s="125" t="s">
        <v>791</v>
      </c>
      <c r="D734" s="124"/>
      <c r="E734" s="124"/>
      <c r="F734" s="86"/>
      <c r="G734" s="87">
        <f t="shared" si="271"/>
        <v>0</v>
      </c>
      <c r="H734" s="88"/>
      <c r="I734" s="86">
        <f t="shared" si="272"/>
        <v>0</v>
      </c>
      <c r="J734" s="87">
        <f t="shared" si="273"/>
        <v>0</v>
      </c>
      <c r="K734" s="131"/>
      <c r="L734" s="88">
        <f t="shared" si="274"/>
        <v>0</v>
      </c>
      <c r="M734" s="87">
        <f t="shared" si="275"/>
        <v>0</v>
      </c>
      <c r="N734" s="19"/>
    </row>
    <row r="735" s="3" customFormat="1" hidden="1" spans="1:14">
      <c r="A735" s="83" t="s">
        <v>735</v>
      </c>
      <c r="B735" s="84">
        <v>2300304</v>
      </c>
      <c r="C735" s="125" t="s">
        <v>792</v>
      </c>
      <c r="D735" s="124"/>
      <c r="E735" s="124"/>
      <c r="F735" s="86"/>
      <c r="G735" s="87">
        <f t="shared" si="271"/>
        <v>0</v>
      </c>
      <c r="H735" s="88"/>
      <c r="I735" s="86">
        <f t="shared" si="272"/>
        <v>0</v>
      </c>
      <c r="J735" s="87">
        <f t="shared" si="273"/>
        <v>0</v>
      </c>
      <c r="K735" s="131"/>
      <c r="L735" s="88">
        <f t="shared" si="274"/>
        <v>0</v>
      </c>
      <c r="M735" s="87">
        <f t="shared" si="275"/>
        <v>0</v>
      </c>
      <c r="N735" s="132"/>
    </row>
    <row r="736" s="3" customFormat="1" hidden="1" spans="1:14">
      <c r="A736" s="83" t="s">
        <v>735</v>
      </c>
      <c r="B736" s="84">
        <v>2300305</v>
      </c>
      <c r="C736" s="125" t="s">
        <v>793</v>
      </c>
      <c r="D736" s="124"/>
      <c r="E736" s="124"/>
      <c r="F736" s="86"/>
      <c r="G736" s="87">
        <f t="shared" si="271"/>
        <v>0</v>
      </c>
      <c r="H736" s="88"/>
      <c r="I736" s="86">
        <f t="shared" si="272"/>
        <v>0</v>
      </c>
      <c r="J736" s="87">
        <f t="shared" si="273"/>
        <v>0</v>
      </c>
      <c r="K736" s="131"/>
      <c r="L736" s="88">
        <f t="shared" si="274"/>
        <v>0</v>
      </c>
      <c r="M736" s="87">
        <f t="shared" si="275"/>
        <v>0</v>
      </c>
      <c r="N736" s="132"/>
    </row>
    <row r="737" s="3" customFormat="1" hidden="1" spans="1:14">
      <c r="A737" s="83" t="s">
        <v>735</v>
      </c>
      <c r="B737" s="84">
        <v>2300306</v>
      </c>
      <c r="C737" s="125" t="s">
        <v>794</v>
      </c>
      <c r="D737" s="124"/>
      <c r="E737" s="124"/>
      <c r="F737" s="86"/>
      <c r="G737" s="87">
        <f t="shared" si="271"/>
        <v>0</v>
      </c>
      <c r="H737" s="88"/>
      <c r="I737" s="86">
        <f t="shared" si="272"/>
        <v>0</v>
      </c>
      <c r="J737" s="87">
        <f t="shared" si="273"/>
        <v>0</v>
      </c>
      <c r="K737" s="131"/>
      <c r="L737" s="88">
        <f t="shared" si="274"/>
        <v>0</v>
      </c>
      <c r="M737" s="87">
        <f t="shared" si="275"/>
        <v>0</v>
      </c>
      <c r="N737" s="132"/>
    </row>
    <row r="738" s="3" customFormat="1" hidden="1" spans="1:14">
      <c r="A738" s="83" t="s">
        <v>735</v>
      </c>
      <c r="B738" s="84">
        <v>2300307</v>
      </c>
      <c r="C738" s="125" t="s">
        <v>795</v>
      </c>
      <c r="D738" s="124"/>
      <c r="E738" s="124"/>
      <c r="F738" s="86"/>
      <c r="G738" s="87">
        <f t="shared" si="271"/>
        <v>0</v>
      </c>
      <c r="H738" s="88"/>
      <c r="I738" s="86">
        <f t="shared" si="272"/>
        <v>0</v>
      </c>
      <c r="J738" s="87">
        <f t="shared" si="273"/>
        <v>0</v>
      </c>
      <c r="K738" s="131"/>
      <c r="L738" s="88">
        <f t="shared" si="274"/>
        <v>0</v>
      </c>
      <c r="M738" s="87">
        <f t="shared" si="275"/>
        <v>0</v>
      </c>
      <c r="N738" s="132"/>
    </row>
    <row r="739" s="3" customFormat="1" hidden="1" spans="1:14">
      <c r="A739" s="83" t="s">
        <v>735</v>
      </c>
      <c r="B739" s="84">
        <v>2300308</v>
      </c>
      <c r="C739" s="125" t="s">
        <v>796</v>
      </c>
      <c r="D739" s="124"/>
      <c r="E739" s="124"/>
      <c r="F739" s="86"/>
      <c r="G739" s="87">
        <f t="shared" si="271"/>
        <v>0</v>
      </c>
      <c r="H739" s="88"/>
      <c r="I739" s="86">
        <f t="shared" si="272"/>
        <v>0</v>
      </c>
      <c r="J739" s="87">
        <f t="shared" si="273"/>
        <v>0</v>
      </c>
      <c r="K739" s="131"/>
      <c r="L739" s="88">
        <f t="shared" si="274"/>
        <v>0</v>
      </c>
      <c r="M739" s="87">
        <f t="shared" si="275"/>
        <v>0</v>
      </c>
      <c r="N739" s="132"/>
    </row>
    <row r="740" s="3" customFormat="1" hidden="1" spans="1:14">
      <c r="A740" s="83" t="s">
        <v>735</v>
      </c>
      <c r="B740" s="84">
        <v>2300310</v>
      </c>
      <c r="C740" s="125" t="s">
        <v>797</v>
      </c>
      <c r="D740" s="124"/>
      <c r="E740" s="124"/>
      <c r="F740" s="86"/>
      <c r="G740" s="87">
        <f t="shared" si="271"/>
        <v>0</v>
      </c>
      <c r="H740" s="88"/>
      <c r="I740" s="86">
        <f t="shared" si="272"/>
        <v>0</v>
      </c>
      <c r="J740" s="87">
        <f t="shared" si="273"/>
        <v>0</v>
      </c>
      <c r="K740" s="131"/>
      <c r="L740" s="88">
        <f t="shared" si="274"/>
        <v>0</v>
      </c>
      <c r="M740" s="87">
        <f t="shared" si="275"/>
        <v>0</v>
      </c>
      <c r="N740" s="132"/>
    </row>
    <row r="741" s="3" customFormat="1" hidden="1" spans="1:14">
      <c r="A741" s="83" t="s">
        <v>735</v>
      </c>
      <c r="B741" s="84">
        <v>2300311</v>
      </c>
      <c r="C741" s="125" t="s">
        <v>798</v>
      </c>
      <c r="D741" s="124"/>
      <c r="E741" s="124"/>
      <c r="F741" s="86"/>
      <c r="G741" s="87">
        <f t="shared" si="271"/>
        <v>0</v>
      </c>
      <c r="H741" s="88"/>
      <c r="I741" s="86">
        <f t="shared" si="272"/>
        <v>0</v>
      </c>
      <c r="J741" s="87">
        <f t="shared" si="273"/>
        <v>0</v>
      </c>
      <c r="K741" s="131"/>
      <c r="L741" s="88">
        <f t="shared" si="274"/>
        <v>0</v>
      </c>
      <c r="M741" s="87">
        <f t="shared" si="275"/>
        <v>0</v>
      </c>
      <c r="N741" s="19"/>
    </row>
    <row r="742" s="3" customFormat="1" hidden="1" spans="1:14">
      <c r="A742" s="83" t="s">
        <v>735</v>
      </c>
      <c r="B742" s="84">
        <v>2300312</v>
      </c>
      <c r="C742" s="125" t="s">
        <v>799</v>
      </c>
      <c r="D742" s="124"/>
      <c r="E742" s="124"/>
      <c r="F742" s="120"/>
      <c r="G742" s="87">
        <f t="shared" si="271"/>
        <v>0</v>
      </c>
      <c r="H742" s="121"/>
      <c r="I742" s="86">
        <f t="shared" si="272"/>
        <v>0</v>
      </c>
      <c r="J742" s="87">
        <f t="shared" si="273"/>
        <v>0</v>
      </c>
      <c r="K742" s="131"/>
      <c r="L742" s="88">
        <f t="shared" si="274"/>
        <v>0</v>
      </c>
      <c r="M742" s="87">
        <f t="shared" si="275"/>
        <v>0</v>
      </c>
      <c r="N742" s="19"/>
    </row>
    <row r="743" s="3" customFormat="1" hidden="1" spans="1:14">
      <c r="A743" s="83" t="s">
        <v>735</v>
      </c>
      <c r="B743" s="84">
        <v>2300313</v>
      </c>
      <c r="C743" s="125" t="s">
        <v>800</v>
      </c>
      <c r="D743" s="124"/>
      <c r="E743" s="124"/>
      <c r="F743" s="86"/>
      <c r="G743" s="87">
        <f t="shared" si="271"/>
        <v>0</v>
      </c>
      <c r="H743" s="88"/>
      <c r="I743" s="86">
        <f t="shared" si="272"/>
        <v>0</v>
      </c>
      <c r="J743" s="87">
        <f t="shared" si="273"/>
        <v>0</v>
      </c>
      <c r="K743" s="131"/>
      <c r="L743" s="88">
        <f t="shared" si="274"/>
        <v>0</v>
      </c>
      <c r="M743" s="87">
        <f t="shared" si="275"/>
        <v>0</v>
      </c>
      <c r="N743" s="19"/>
    </row>
    <row r="744" s="3" customFormat="1" hidden="1" spans="1:14">
      <c r="A744" s="83" t="s">
        <v>735</v>
      </c>
      <c r="B744" s="84">
        <v>2300314</v>
      </c>
      <c r="C744" s="125" t="s">
        <v>801</v>
      </c>
      <c r="D744" s="124"/>
      <c r="E744" s="124"/>
      <c r="F744" s="86"/>
      <c r="G744" s="87">
        <f t="shared" si="271"/>
        <v>0</v>
      </c>
      <c r="H744" s="88"/>
      <c r="I744" s="86">
        <f t="shared" si="272"/>
        <v>0</v>
      </c>
      <c r="J744" s="87">
        <f t="shared" si="273"/>
        <v>0</v>
      </c>
      <c r="K744" s="131"/>
      <c r="L744" s="88">
        <f t="shared" si="274"/>
        <v>0</v>
      </c>
      <c r="M744" s="87">
        <f t="shared" si="275"/>
        <v>0</v>
      </c>
      <c r="N744" s="19"/>
    </row>
    <row r="745" s="3" customFormat="1" hidden="1" spans="1:14">
      <c r="A745" s="83" t="s">
        <v>735</v>
      </c>
      <c r="B745" s="84">
        <v>2300315</v>
      </c>
      <c r="C745" s="125" t="s">
        <v>802</v>
      </c>
      <c r="D745" s="124"/>
      <c r="E745" s="124"/>
      <c r="F745" s="86"/>
      <c r="G745" s="87">
        <f t="shared" si="271"/>
        <v>0</v>
      </c>
      <c r="H745" s="88"/>
      <c r="I745" s="86">
        <f t="shared" si="272"/>
        <v>0</v>
      </c>
      <c r="J745" s="87">
        <f t="shared" si="273"/>
        <v>0</v>
      </c>
      <c r="K745" s="131"/>
      <c r="L745" s="88">
        <f t="shared" si="274"/>
        <v>0</v>
      </c>
      <c r="M745" s="87">
        <f t="shared" si="275"/>
        <v>0</v>
      </c>
      <c r="N745" s="19"/>
    </row>
    <row r="746" s="3" customFormat="1" hidden="1" spans="1:14">
      <c r="A746" s="83" t="s">
        <v>735</v>
      </c>
      <c r="B746" s="84">
        <v>2300316</v>
      </c>
      <c r="C746" s="125" t="s">
        <v>803</v>
      </c>
      <c r="D746" s="124"/>
      <c r="E746" s="124"/>
      <c r="F746" s="86"/>
      <c r="G746" s="87">
        <f t="shared" si="271"/>
        <v>0</v>
      </c>
      <c r="H746" s="88"/>
      <c r="I746" s="86">
        <f t="shared" si="272"/>
        <v>0</v>
      </c>
      <c r="J746" s="87">
        <f t="shared" si="273"/>
        <v>0</v>
      </c>
      <c r="K746" s="131"/>
      <c r="L746" s="88">
        <f t="shared" si="274"/>
        <v>0</v>
      </c>
      <c r="M746" s="87">
        <f t="shared" si="275"/>
        <v>0</v>
      </c>
      <c r="N746" s="19"/>
    </row>
    <row r="747" s="3" customFormat="1" hidden="1" spans="1:14">
      <c r="A747" s="83" t="s">
        <v>735</v>
      </c>
      <c r="B747" s="84">
        <v>2300317</v>
      </c>
      <c r="C747" s="125" t="s">
        <v>804</v>
      </c>
      <c r="D747" s="124"/>
      <c r="E747" s="124"/>
      <c r="F747" s="86"/>
      <c r="G747" s="87">
        <f t="shared" si="271"/>
        <v>0</v>
      </c>
      <c r="H747" s="88"/>
      <c r="I747" s="86">
        <f t="shared" si="272"/>
        <v>0</v>
      </c>
      <c r="J747" s="87">
        <f t="shared" si="273"/>
        <v>0</v>
      </c>
      <c r="K747" s="131"/>
      <c r="L747" s="88">
        <f t="shared" si="274"/>
        <v>0</v>
      </c>
      <c r="M747" s="87">
        <f t="shared" si="275"/>
        <v>0</v>
      </c>
      <c r="N747" s="19"/>
    </row>
    <row r="748" s="3" customFormat="1" hidden="1" spans="1:14">
      <c r="A748" s="83" t="s">
        <v>735</v>
      </c>
      <c r="B748" s="84">
        <v>2300320</v>
      </c>
      <c r="C748" s="125" t="s">
        <v>805</v>
      </c>
      <c r="D748" s="124"/>
      <c r="E748" s="124"/>
      <c r="F748" s="86"/>
      <c r="G748" s="87">
        <f t="shared" si="271"/>
        <v>0</v>
      </c>
      <c r="H748" s="88"/>
      <c r="I748" s="86">
        <f t="shared" si="272"/>
        <v>0</v>
      </c>
      <c r="J748" s="87">
        <f t="shared" si="273"/>
        <v>0</v>
      </c>
      <c r="K748" s="131"/>
      <c r="L748" s="88">
        <f t="shared" si="274"/>
        <v>0</v>
      </c>
      <c r="M748" s="87">
        <f t="shared" si="275"/>
        <v>0</v>
      </c>
      <c r="N748" s="19"/>
    </row>
    <row r="749" s="3" customFormat="1" hidden="1" spans="1:14">
      <c r="A749" s="83" t="s">
        <v>735</v>
      </c>
      <c r="B749" s="84">
        <v>2300321</v>
      </c>
      <c r="C749" s="125" t="s">
        <v>806</v>
      </c>
      <c r="D749" s="124"/>
      <c r="E749" s="124"/>
      <c r="F749" s="86"/>
      <c r="G749" s="87">
        <f t="shared" si="271"/>
        <v>0</v>
      </c>
      <c r="H749" s="88"/>
      <c r="I749" s="86">
        <f t="shared" si="272"/>
        <v>0</v>
      </c>
      <c r="J749" s="87">
        <f t="shared" si="273"/>
        <v>0</v>
      </c>
      <c r="K749" s="131"/>
      <c r="L749" s="88">
        <f t="shared" si="274"/>
        <v>0</v>
      </c>
      <c r="M749" s="87">
        <f t="shared" si="275"/>
        <v>0</v>
      </c>
      <c r="N749" s="19"/>
    </row>
    <row r="750" s="3" customFormat="1" hidden="1" spans="1:14">
      <c r="A750" s="83" t="s">
        <v>735</v>
      </c>
      <c r="B750" s="84">
        <v>2300322</v>
      </c>
      <c r="C750" s="125" t="s">
        <v>807</v>
      </c>
      <c r="D750" s="124"/>
      <c r="E750" s="124"/>
      <c r="F750" s="86"/>
      <c r="G750" s="87">
        <f t="shared" si="271"/>
        <v>0</v>
      </c>
      <c r="H750" s="88"/>
      <c r="I750" s="86">
        <f t="shared" si="272"/>
        <v>0</v>
      </c>
      <c r="J750" s="87">
        <f t="shared" si="273"/>
        <v>0</v>
      </c>
      <c r="K750" s="131"/>
      <c r="L750" s="88">
        <f t="shared" si="274"/>
        <v>0</v>
      </c>
      <c r="M750" s="87">
        <f t="shared" si="275"/>
        <v>0</v>
      </c>
      <c r="N750" s="19"/>
    </row>
    <row r="751" s="3" customFormat="1" hidden="1" spans="1:14">
      <c r="A751" s="83" t="s">
        <v>735</v>
      </c>
      <c r="B751" s="84">
        <v>2300324</v>
      </c>
      <c r="C751" s="125" t="s">
        <v>808</v>
      </c>
      <c r="D751" s="124"/>
      <c r="E751" s="124"/>
      <c r="F751" s="86"/>
      <c r="G751" s="87">
        <f t="shared" si="271"/>
        <v>0</v>
      </c>
      <c r="H751" s="88"/>
      <c r="I751" s="86">
        <f t="shared" si="272"/>
        <v>0</v>
      </c>
      <c r="J751" s="87">
        <f t="shared" si="273"/>
        <v>0</v>
      </c>
      <c r="K751" s="131"/>
      <c r="L751" s="88">
        <f t="shared" si="274"/>
        <v>0</v>
      </c>
      <c r="M751" s="87">
        <f t="shared" si="275"/>
        <v>0</v>
      </c>
      <c r="N751" s="19"/>
    </row>
    <row r="752" s="3" customFormat="1" hidden="1" spans="1:14">
      <c r="A752" s="83" t="s">
        <v>735</v>
      </c>
      <c r="B752" s="84">
        <v>2300399</v>
      </c>
      <c r="C752" s="125" t="s">
        <v>809</v>
      </c>
      <c r="D752" s="124"/>
      <c r="E752" s="124"/>
      <c r="F752" s="86"/>
      <c r="G752" s="87">
        <f t="shared" si="271"/>
        <v>0</v>
      </c>
      <c r="H752" s="88"/>
      <c r="I752" s="86">
        <f t="shared" si="272"/>
        <v>0</v>
      </c>
      <c r="J752" s="87">
        <f t="shared" si="273"/>
        <v>0</v>
      </c>
      <c r="K752" s="131"/>
      <c r="L752" s="88">
        <f t="shared" si="274"/>
        <v>0</v>
      </c>
      <c r="M752" s="87">
        <f t="shared" si="275"/>
        <v>0</v>
      </c>
      <c r="N752" s="19"/>
    </row>
    <row r="753" s="3" customFormat="1" spans="1:14">
      <c r="A753" s="83" t="s">
        <v>737</v>
      </c>
      <c r="B753" s="84"/>
      <c r="C753" s="85" t="s">
        <v>810</v>
      </c>
      <c r="D753" s="120"/>
      <c r="E753" s="120"/>
      <c r="F753" s="120"/>
      <c r="G753" s="87">
        <f t="shared" si="271"/>
        <v>0</v>
      </c>
      <c r="H753" s="121"/>
      <c r="I753" s="86">
        <f t="shared" si="272"/>
        <v>0</v>
      </c>
      <c r="J753" s="87">
        <f t="shared" si="273"/>
        <v>0</v>
      </c>
      <c r="K753" s="121"/>
      <c r="L753" s="88">
        <f t="shared" si="274"/>
        <v>0</v>
      </c>
      <c r="M753" s="87">
        <f t="shared" si="275"/>
        <v>0</v>
      </c>
      <c r="N753" s="122"/>
    </row>
    <row r="754" s="3" customFormat="1" spans="1:14">
      <c r="A754" s="83" t="s">
        <v>737</v>
      </c>
      <c r="B754" s="84"/>
      <c r="C754" s="85" t="s">
        <v>811</v>
      </c>
      <c r="D754" s="120"/>
      <c r="E754" s="120"/>
      <c r="F754" s="120"/>
      <c r="G754" s="87">
        <f t="shared" si="271"/>
        <v>0</v>
      </c>
      <c r="H754" s="121"/>
      <c r="I754" s="86">
        <f t="shared" si="272"/>
        <v>0</v>
      </c>
      <c r="J754" s="87">
        <f t="shared" si="273"/>
        <v>0</v>
      </c>
      <c r="K754" s="121"/>
      <c r="L754" s="88">
        <f t="shared" si="274"/>
        <v>0</v>
      </c>
      <c r="M754" s="87">
        <f t="shared" si="275"/>
        <v>0</v>
      </c>
      <c r="N754" s="122"/>
    </row>
    <row r="755" s="3" customFormat="1" spans="1:14">
      <c r="A755" s="83" t="s">
        <v>737</v>
      </c>
      <c r="B755" s="84"/>
      <c r="C755" s="85" t="s">
        <v>812</v>
      </c>
      <c r="D755" s="120">
        <v>1356</v>
      </c>
      <c r="E755" s="120">
        <v>1356</v>
      </c>
      <c r="F755" s="120">
        <v>1349</v>
      </c>
      <c r="G755" s="87">
        <f t="shared" si="271"/>
        <v>99.4837758112094</v>
      </c>
      <c r="H755" s="121">
        <v>1200</v>
      </c>
      <c r="I755" s="86">
        <f t="shared" si="272"/>
        <v>149</v>
      </c>
      <c r="J755" s="87">
        <f t="shared" si="273"/>
        <v>12.4166666666667</v>
      </c>
      <c r="K755" s="121"/>
      <c r="L755" s="88">
        <f t="shared" si="274"/>
        <v>-1356</v>
      </c>
      <c r="M755" s="87">
        <f t="shared" si="275"/>
        <v>-100</v>
      </c>
      <c r="N755" s="122"/>
    </row>
    <row r="756" s="3" customFormat="1" spans="1:14">
      <c r="A756" s="83" t="s">
        <v>737</v>
      </c>
      <c r="B756" s="84"/>
      <c r="C756" s="85" t="s">
        <v>813</v>
      </c>
      <c r="D756" s="120"/>
      <c r="E756" s="120"/>
      <c r="F756" s="120"/>
      <c r="G756" s="87">
        <f t="shared" si="271"/>
        <v>0</v>
      </c>
      <c r="H756" s="121"/>
      <c r="I756" s="86">
        <f t="shared" si="272"/>
        <v>0</v>
      </c>
      <c r="J756" s="87">
        <f t="shared" si="273"/>
        <v>0</v>
      </c>
      <c r="K756" s="121"/>
      <c r="L756" s="88">
        <f t="shared" si="274"/>
        <v>0</v>
      </c>
      <c r="M756" s="87">
        <f t="shared" si="275"/>
        <v>0</v>
      </c>
      <c r="N756" s="122"/>
    </row>
    <row r="757" s="3" customFormat="1" spans="1:14">
      <c r="A757" s="83" t="s">
        <v>737</v>
      </c>
      <c r="B757" s="84"/>
      <c r="C757" s="85" t="s">
        <v>814</v>
      </c>
      <c r="D757" s="120"/>
      <c r="E757" s="120"/>
      <c r="F757" s="120"/>
      <c r="G757" s="87">
        <f t="shared" si="271"/>
        <v>0</v>
      </c>
      <c r="H757" s="121"/>
      <c r="I757" s="86">
        <f t="shared" si="272"/>
        <v>0</v>
      </c>
      <c r="J757" s="87">
        <f t="shared" si="273"/>
        <v>0</v>
      </c>
      <c r="K757" s="121"/>
      <c r="L757" s="88">
        <f t="shared" si="274"/>
        <v>0</v>
      </c>
      <c r="M757" s="87">
        <f t="shared" si="275"/>
        <v>0</v>
      </c>
      <c r="N757" s="122"/>
    </row>
    <row r="758" s="3" customFormat="1" spans="1:14">
      <c r="A758" s="83" t="s">
        <v>737</v>
      </c>
      <c r="B758" s="84"/>
      <c r="C758" s="85" t="s">
        <v>815</v>
      </c>
      <c r="D758" s="120"/>
      <c r="E758" s="120">
        <v>1397</v>
      </c>
      <c r="F758" s="120">
        <v>1403</v>
      </c>
      <c r="G758" s="87">
        <f t="shared" si="271"/>
        <v>100.429491768074</v>
      </c>
      <c r="H758" s="121"/>
      <c r="I758" s="86">
        <f t="shared" si="272"/>
        <v>1403</v>
      </c>
      <c r="J758" s="87">
        <f t="shared" si="273"/>
        <v>0</v>
      </c>
      <c r="K758" s="121"/>
      <c r="L758" s="88">
        <f t="shared" si="274"/>
        <v>0</v>
      </c>
      <c r="M758" s="87">
        <f t="shared" si="275"/>
        <v>0</v>
      </c>
      <c r="N758" s="122"/>
    </row>
    <row r="759" s="3" customFormat="1" spans="1:14">
      <c r="A759" s="83" t="s">
        <v>737</v>
      </c>
      <c r="B759" s="84"/>
      <c r="C759" s="85" t="s">
        <v>816</v>
      </c>
      <c r="D759" s="120"/>
      <c r="E759" s="120"/>
      <c r="F759" s="120"/>
      <c r="G759" s="87">
        <f t="shared" si="271"/>
        <v>0</v>
      </c>
      <c r="H759" s="121"/>
      <c r="I759" s="86">
        <f t="shared" si="272"/>
        <v>0</v>
      </c>
      <c r="J759" s="87">
        <f t="shared" si="273"/>
        <v>0</v>
      </c>
      <c r="K759" s="121"/>
      <c r="L759" s="88">
        <f t="shared" si="274"/>
        <v>0</v>
      </c>
      <c r="M759" s="87">
        <f t="shared" si="275"/>
        <v>0</v>
      </c>
      <c r="N759" s="122"/>
    </row>
    <row r="760" s="3" customFormat="1" spans="1:14">
      <c r="A760" s="83" t="s">
        <v>737</v>
      </c>
      <c r="B760" s="84"/>
      <c r="C760" s="85" t="s">
        <v>817</v>
      </c>
      <c r="D760" s="120"/>
      <c r="E760" s="120"/>
      <c r="F760" s="120">
        <v>2456</v>
      </c>
      <c r="G760" s="87">
        <f t="shared" si="271"/>
        <v>0</v>
      </c>
      <c r="H760" s="121">
        <v>11299</v>
      </c>
      <c r="I760" s="86">
        <f t="shared" si="272"/>
        <v>-8843</v>
      </c>
      <c r="J760" s="87">
        <f t="shared" si="273"/>
        <v>-78.2635631471812</v>
      </c>
      <c r="K760" s="121"/>
      <c r="L760" s="88">
        <f t="shared" si="274"/>
        <v>0</v>
      </c>
      <c r="M760" s="87">
        <f t="shared" si="275"/>
        <v>0</v>
      </c>
      <c r="N760" s="122"/>
    </row>
    <row r="761" s="70" customFormat="1" spans="1:14">
      <c r="A761" s="126" t="s">
        <v>737</v>
      </c>
      <c r="B761" s="133"/>
      <c r="C761" s="134" t="s">
        <v>818</v>
      </c>
      <c r="D761" s="135">
        <f t="shared" ref="D761:F761" si="277">D682+D683</f>
        <v>56642</v>
      </c>
      <c r="E761" s="105">
        <f t="shared" si="277"/>
        <v>55954</v>
      </c>
      <c r="F761" s="103">
        <f t="shared" si="277"/>
        <v>62183</v>
      </c>
      <c r="G761" s="129">
        <f t="shared" si="271"/>
        <v>111.132358723237</v>
      </c>
      <c r="H761" s="105">
        <f>H682+H683</f>
        <v>65812</v>
      </c>
      <c r="I761" s="103">
        <f t="shared" si="272"/>
        <v>-3629</v>
      </c>
      <c r="J761" s="129">
        <f t="shared" si="273"/>
        <v>-5.51419194067951</v>
      </c>
      <c r="K761" s="137">
        <f>K682+K683</f>
        <v>50889</v>
      </c>
      <c r="L761" s="105">
        <f t="shared" si="274"/>
        <v>-5753</v>
      </c>
      <c r="M761" s="129">
        <f t="shared" si="275"/>
        <v>-10.1567741252074</v>
      </c>
      <c r="N761" s="104"/>
    </row>
    <row r="762" s="3" customFormat="1" spans="1:14">
      <c r="A762" s="71"/>
      <c r="D762" s="72"/>
      <c r="E762" s="73"/>
      <c r="F762" s="72"/>
      <c r="G762" s="74"/>
      <c r="H762" s="73"/>
      <c r="I762" s="72"/>
      <c r="J762" s="74"/>
      <c r="K762" s="73"/>
      <c r="L762" s="73"/>
      <c r="M762" s="74"/>
      <c r="N762" s="138"/>
    </row>
    <row r="763" s="3" customFormat="1" spans="1:14">
      <c r="A763" s="71"/>
      <c r="D763" s="72"/>
      <c r="E763" s="73"/>
      <c r="F763" s="72"/>
      <c r="G763" s="74"/>
      <c r="H763" s="73"/>
      <c r="I763" s="72"/>
      <c r="J763" s="74"/>
      <c r="K763" s="73"/>
      <c r="L763" s="73"/>
      <c r="M763" s="74"/>
      <c r="N763" s="138"/>
    </row>
    <row r="764" s="3" customFormat="1" spans="1:14">
      <c r="A764" s="71"/>
      <c r="D764" s="72"/>
      <c r="E764" s="73"/>
      <c r="F764" s="72"/>
      <c r="G764" s="74"/>
      <c r="H764" s="73"/>
      <c r="I764" s="72"/>
      <c r="J764" s="74"/>
      <c r="K764" s="73"/>
      <c r="L764" s="73"/>
      <c r="M764" s="74"/>
      <c r="N764" s="138"/>
    </row>
    <row r="765" s="3" customFormat="1" spans="1:14">
      <c r="A765" s="71"/>
      <c r="D765" s="72"/>
      <c r="E765" s="73"/>
      <c r="F765" s="72"/>
      <c r="H765" s="73"/>
      <c r="I765" s="72"/>
      <c r="K765" s="73"/>
      <c r="L765" s="73"/>
      <c r="N765" s="138"/>
    </row>
    <row r="766" s="3" customFormat="1" spans="1:14">
      <c r="A766" s="71"/>
      <c r="D766" s="72"/>
      <c r="E766" s="73"/>
      <c r="F766" s="72"/>
      <c r="H766" s="73"/>
      <c r="I766" s="72"/>
      <c r="K766" s="73"/>
      <c r="L766" s="73"/>
      <c r="N766" s="138"/>
    </row>
    <row r="767" s="3" customFormat="1" spans="1:14">
      <c r="A767" s="71"/>
      <c r="D767" s="72"/>
      <c r="E767" s="73"/>
      <c r="F767" s="72"/>
      <c r="H767" s="73"/>
      <c r="I767" s="72"/>
      <c r="K767" s="73"/>
      <c r="L767" s="73"/>
      <c r="N767" s="138"/>
    </row>
    <row r="768" s="3" customFormat="1" spans="1:14">
      <c r="A768" s="71"/>
      <c r="D768" s="72"/>
      <c r="E768" s="73"/>
      <c r="F768" s="72"/>
      <c r="H768" s="73"/>
      <c r="I768" s="72"/>
      <c r="K768" s="73"/>
      <c r="L768" s="73"/>
      <c r="N768" s="138"/>
    </row>
    <row r="769" s="3" customFormat="1" spans="1:14">
      <c r="A769" s="71"/>
      <c r="D769" s="72"/>
      <c r="E769" s="73"/>
      <c r="F769" s="72"/>
      <c r="H769" s="73"/>
      <c r="I769" s="72"/>
      <c r="K769" s="73"/>
      <c r="L769" s="73"/>
      <c r="N769" s="138"/>
    </row>
    <row r="770" s="3" customFormat="1" spans="1:14">
      <c r="A770" s="71"/>
      <c r="D770" s="72"/>
      <c r="E770" s="73"/>
      <c r="F770" s="72"/>
      <c r="H770" s="73"/>
      <c r="I770" s="72"/>
      <c r="K770" s="73"/>
      <c r="L770" s="73"/>
      <c r="N770" s="138"/>
    </row>
    <row r="771" s="3" customFormat="1" spans="1:14">
      <c r="A771" s="71"/>
      <c r="D771" s="72"/>
      <c r="E771" s="73"/>
      <c r="F771" s="72"/>
      <c r="H771" s="73"/>
      <c r="I771" s="72"/>
      <c r="K771" s="73"/>
      <c r="L771" s="73"/>
      <c r="N771" s="138"/>
    </row>
    <row r="772" s="3" customFormat="1" spans="1:14">
      <c r="A772" s="71"/>
      <c r="D772" s="72"/>
      <c r="E772" s="73"/>
      <c r="F772" s="72"/>
      <c r="H772" s="73"/>
      <c r="I772" s="72"/>
      <c r="K772" s="73"/>
      <c r="L772" s="73"/>
      <c r="N772" s="138"/>
    </row>
    <row r="773" s="3" customFormat="1" spans="1:14">
      <c r="A773" s="71"/>
      <c r="D773" s="72"/>
      <c r="E773" s="73"/>
      <c r="F773" s="72"/>
      <c r="H773" s="73"/>
      <c r="I773" s="72"/>
      <c r="K773" s="73"/>
      <c r="L773" s="73"/>
      <c r="N773" s="138"/>
    </row>
    <row r="774" s="3" customFormat="1" spans="1:14">
      <c r="A774" s="71"/>
      <c r="D774" s="72"/>
      <c r="E774" s="73"/>
      <c r="F774" s="72"/>
      <c r="H774" s="73"/>
      <c r="I774" s="72"/>
      <c r="K774" s="73"/>
      <c r="L774" s="73"/>
      <c r="N774" s="138"/>
    </row>
    <row r="775" s="3" customFormat="1" spans="1:14">
      <c r="A775" s="71"/>
      <c r="D775" s="72"/>
      <c r="E775" s="73"/>
      <c r="F775" s="72"/>
      <c r="H775" s="73"/>
      <c r="I775" s="72"/>
      <c r="K775" s="73"/>
      <c r="L775" s="73"/>
      <c r="N775" s="138"/>
    </row>
    <row r="776" s="3" customFormat="1" spans="1:14">
      <c r="A776" s="71"/>
      <c r="D776" s="72"/>
      <c r="E776" s="73"/>
      <c r="F776" s="72"/>
      <c r="H776" s="73"/>
      <c r="I776" s="72"/>
      <c r="K776" s="73"/>
      <c r="L776" s="73"/>
      <c r="N776" s="138"/>
    </row>
    <row r="777" s="3" customFormat="1" spans="1:14">
      <c r="A777" s="71"/>
      <c r="D777" s="72"/>
      <c r="E777" s="73"/>
      <c r="F777" s="72"/>
      <c r="H777" s="73"/>
      <c r="I777" s="72"/>
      <c r="K777" s="73"/>
      <c r="L777" s="73"/>
      <c r="N777" s="138"/>
    </row>
    <row r="778" s="3" customFormat="1" spans="1:14">
      <c r="A778" s="71"/>
      <c r="D778" s="72"/>
      <c r="E778" s="73"/>
      <c r="F778" s="72"/>
      <c r="H778" s="73"/>
      <c r="I778" s="72"/>
      <c r="K778" s="73"/>
      <c r="L778" s="73"/>
      <c r="N778" s="138"/>
    </row>
    <row r="779" s="3" customFormat="1" spans="1:14">
      <c r="A779" s="71"/>
      <c r="D779" s="72"/>
      <c r="E779" s="73"/>
      <c r="F779" s="72"/>
      <c r="H779" s="73"/>
      <c r="I779" s="72"/>
      <c r="K779" s="73"/>
      <c r="L779" s="73"/>
      <c r="N779" s="138"/>
    </row>
    <row r="780" s="3" customFormat="1" spans="1:14">
      <c r="A780" s="71"/>
      <c r="D780" s="72"/>
      <c r="E780" s="73"/>
      <c r="F780" s="72"/>
      <c r="H780" s="73"/>
      <c r="I780" s="72"/>
      <c r="K780" s="73"/>
      <c r="L780" s="73"/>
      <c r="N780" s="138"/>
    </row>
  </sheetData>
  <autoFilter ref="A6:N761">
    <extLst/>
  </autoFilter>
  <mergeCells count="16">
    <mergeCell ref="A2:N2"/>
    <mergeCell ref="A3:N3"/>
    <mergeCell ref="D4:J4"/>
    <mergeCell ref="K4:M4"/>
    <mergeCell ref="I5:J5"/>
    <mergeCell ref="L5:M5"/>
    <mergeCell ref="A4:A6"/>
    <mergeCell ref="B4:B6"/>
    <mergeCell ref="C4:C6"/>
    <mergeCell ref="D5:D6"/>
    <mergeCell ref="E5:E6"/>
    <mergeCell ref="F5:F6"/>
    <mergeCell ref="G5:G6"/>
    <mergeCell ref="H5:H6"/>
    <mergeCell ref="K5:K6"/>
    <mergeCell ref="N4:N6"/>
  </mergeCells>
  <pageMargins left="0.751388888888889" right="0.751388888888889" top="0.393055555555556" bottom="0.432638888888889" header="0.196527777777778" footer="0.156944444444444"/>
  <pageSetup paperSize="9" scale="80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1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F34" sqref="F34"/>
    </sheetView>
  </sheetViews>
  <sheetFormatPr defaultColWidth="9" defaultRowHeight="14.25"/>
  <cols>
    <col min="1" max="1" width="46.25" style="28" customWidth="1"/>
    <col min="2" max="2" width="8.33333333333333" style="28" customWidth="1"/>
    <col min="3" max="3" width="10" style="28"/>
    <col min="4" max="4" width="9.75" style="28" customWidth="1"/>
    <col min="5" max="5" width="13.0833333333333" style="28" customWidth="1"/>
    <col min="6" max="6" width="9.33333333333333" style="28" customWidth="1"/>
    <col min="7" max="7" width="8.08333333333333" style="28"/>
    <col min="8" max="8" width="8.33333333333333" style="28" customWidth="1"/>
    <col min="9" max="9" width="9.33333333333333" style="51" customWidth="1"/>
    <col min="10" max="10" width="8.33333333333333" style="28" customWidth="1"/>
    <col min="11" max="11" width="5.33333333333333" style="28" customWidth="1"/>
    <col min="12" max="16384" width="9" style="28"/>
  </cols>
  <sheetData>
    <row r="1" s="28" customFormat="1" spans="1:9">
      <c r="A1" s="3" t="s">
        <v>819</v>
      </c>
      <c r="I1" s="51"/>
    </row>
    <row r="2" s="28" customFormat="1" ht="28.5" spans="1:11">
      <c r="A2" s="32" t="s">
        <v>820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28" customFormat="1" spans="4:11">
      <c r="D3" s="52"/>
      <c r="J3" s="65" t="s">
        <v>2</v>
      </c>
      <c r="K3" s="65"/>
    </row>
    <row r="4" s="29" customFormat="1" ht="13.5" spans="1:11">
      <c r="A4" s="34" t="s">
        <v>821</v>
      </c>
      <c r="B4" s="34" t="s">
        <v>4</v>
      </c>
      <c r="C4" s="34"/>
      <c r="D4" s="34"/>
      <c r="E4" s="34"/>
      <c r="F4" s="34"/>
      <c r="G4" s="34"/>
      <c r="H4" s="33" t="s">
        <v>5</v>
      </c>
      <c r="I4" s="33"/>
      <c r="J4" s="33"/>
      <c r="K4" s="34" t="s">
        <v>6</v>
      </c>
    </row>
    <row r="5" s="29" customFormat="1" ht="13.5" spans="1:11">
      <c r="A5" s="34"/>
      <c r="B5" s="35" t="s">
        <v>7</v>
      </c>
      <c r="C5" s="34" t="s">
        <v>8</v>
      </c>
      <c r="D5" s="53" t="s">
        <v>822</v>
      </c>
      <c r="E5" s="33" t="s">
        <v>823</v>
      </c>
      <c r="F5" s="33" t="s">
        <v>11</v>
      </c>
      <c r="G5" s="33"/>
      <c r="H5" s="33" t="s">
        <v>12</v>
      </c>
      <c r="I5" s="33" t="s">
        <v>13</v>
      </c>
      <c r="J5" s="33"/>
      <c r="K5" s="34"/>
    </row>
    <row r="6" s="29" customFormat="1" ht="13.5" spans="1:11">
      <c r="A6" s="34"/>
      <c r="B6" s="35"/>
      <c r="C6" s="34"/>
      <c r="D6" s="53"/>
      <c r="E6" s="33"/>
      <c r="F6" s="34" t="s">
        <v>14</v>
      </c>
      <c r="G6" s="34" t="s">
        <v>15</v>
      </c>
      <c r="H6" s="33"/>
      <c r="I6" s="33" t="s">
        <v>14</v>
      </c>
      <c r="J6" s="33" t="s">
        <v>15</v>
      </c>
      <c r="K6" s="34"/>
    </row>
    <row r="7" s="50" customFormat="1" spans="1:11">
      <c r="A7" s="54" t="s">
        <v>824</v>
      </c>
      <c r="B7" s="55"/>
      <c r="C7" s="55"/>
      <c r="D7" s="56" t="str">
        <f t="shared" ref="D7:D10" si="0">IF(B7=0,"",C7/B7*100)</f>
        <v/>
      </c>
      <c r="E7" s="55"/>
      <c r="F7" s="57">
        <f t="shared" ref="F7:F24" si="1">C7-E7</f>
        <v>0</v>
      </c>
      <c r="G7" s="56">
        <f t="shared" ref="G7:G24" si="2">IF(E7=0,,F7/E7*100)</f>
        <v>0</v>
      </c>
      <c r="H7" s="55"/>
      <c r="I7" s="57">
        <f t="shared" ref="I7:I10" si="3">H7-C7</f>
        <v>0</v>
      </c>
      <c r="J7" s="56" t="str">
        <f t="shared" ref="J7:J10" si="4">IF(C7=0,"",I7/C7*100)</f>
        <v/>
      </c>
      <c r="K7" s="66"/>
    </row>
    <row r="8" s="50" customFormat="1" spans="1:11">
      <c r="A8" s="54" t="s">
        <v>825</v>
      </c>
      <c r="B8" s="55"/>
      <c r="C8" s="55"/>
      <c r="D8" s="56" t="str">
        <f t="shared" si="0"/>
        <v/>
      </c>
      <c r="E8" s="55"/>
      <c r="F8" s="57">
        <f t="shared" si="1"/>
        <v>0</v>
      </c>
      <c r="G8" s="56">
        <f t="shared" si="2"/>
        <v>0</v>
      </c>
      <c r="H8" s="55"/>
      <c r="I8" s="57">
        <f t="shared" si="3"/>
        <v>0</v>
      </c>
      <c r="J8" s="56" t="str">
        <f t="shared" si="4"/>
        <v/>
      </c>
      <c r="K8" s="66"/>
    </row>
    <row r="9" s="50" customFormat="1" spans="1:11">
      <c r="A9" s="54" t="s">
        <v>826</v>
      </c>
      <c r="B9" s="55"/>
      <c r="C9" s="55"/>
      <c r="D9" s="56" t="str">
        <f t="shared" si="0"/>
        <v/>
      </c>
      <c r="E9" s="55"/>
      <c r="F9" s="57">
        <f t="shared" si="1"/>
        <v>0</v>
      </c>
      <c r="G9" s="56">
        <f t="shared" si="2"/>
        <v>0</v>
      </c>
      <c r="H9" s="55"/>
      <c r="I9" s="57">
        <f t="shared" si="3"/>
        <v>0</v>
      </c>
      <c r="J9" s="56" t="str">
        <f t="shared" si="4"/>
        <v/>
      </c>
      <c r="K9" s="45"/>
    </row>
    <row r="10" s="50" customFormat="1" spans="1:11">
      <c r="A10" s="54" t="s">
        <v>827</v>
      </c>
      <c r="B10" s="55"/>
      <c r="C10" s="55"/>
      <c r="D10" s="56" t="str">
        <f t="shared" si="0"/>
        <v/>
      </c>
      <c r="E10" s="55">
        <v>3095</v>
      </c>
      <c r="F10" s="57">
        <f t="shared" si="1"/>
        <v>-3095</v>
      </c>
      <c r="G10" s="56">
        <f t="shared" si="2"/>
        <v>-100</v>
      </c>
      <c r="H10" s="55"/>
      <c r="I10" s="57">
        <f t="shared" si="3"/>
        <v>0</v>
      </c>
      <c r="J10" s="56" t="str">
        <f t="shared" si="4"/>
        <v/>
      </c>
      <c r="K10" s="66"/>
    </row>
    <row r="11" s="50" customFormat="1" spans="1:11">
      <c r="A11" s="19" t="s">
        <v>828</v>
      </c>
      <c r="B11" s="55"/>
      <c r="C11" s="55"/>
      <c r="D11" s="56"/>
      <c r="E11" s="55">
        <v>3095</v>
      </c>
      <c r="F11" s="57">
        <f t="shared" si="1"/>
        <v>-3095</v>
      </c>
      <c r="G11" s="56">
        <f t="shared" si="2"/>
        <v>-100</v>
      </c>
      <c r="H11" s="55"/>
      <c r="I11" s="57">
        <v>0</v>
      </c>
      <c r="J11" s="56"/>
      <c r="K11" s="66"/>
    </row>
    <row r="12" s="50" customFormat="1" spans="1:11">
      <c r="A12" s="54" t="s">
        <v>829</v>
      </c>
      <c r="B12" s="55"/>
      <c r="C12" s="55"/>
      <c r="D12" s="56" t="str">
        <f t="shared" ref="D12:D21" si="5">IF(B12=0,"",C12/B12*100)</f>
        <v/>
      </c>
      <c r="E12" s="55"/>
      <c r="F12" s="57">
        <f t="shared" si="1"/>
        <v>0</v>
      </c>
      <c r="G12" s="56">
        <f t="shared" si="2"/>
        <v>0</v>
      </c>
      <c r="H12" s="55"/>
      <c r="I12" s="57">
        <f t="shared" ref="I12:I21" si="6">H12-C12</f>
        <v>0</v>
      </c>
      <c r="J12" s="56" t="str">
        <f t="shared" ref="J12:J21" si="7">IF(C12=0,"",I12/C12*100)</f>
        <v/>
      </c>
      <c r="K12" s="66"/>
    </row>
    <row r="13" s="50" customFormat="1" spans="1:11">
      <c r="A13" s="54" t="s">
        <v>830</v>
      </c>
      <c r="B13" s="55"/>
      <c r="C13" s="55"/>
      <c r="D13" s="56" t="str">
        <f t="shared" si="5"/>
        <v/>
      </c>
      <c r="E13" s="55"/>
      <c r="F13" s="57">
        <f t="shared" si="1"/>
        <v>0</v>
      </c>
      <c r="G13" s="56">
        <f t="shared" si="2"/>
        <v>0</v>
      </c>
      <c r="H13" s="55"/>
      <c r="I13" s="57">
        <f t="shared" si="6"/>
        <v>0</v>
      </c>
      <c r="J13" s="56" t="str">
        <f t="shared" si="7"/>
        <v/>
      </c>
      <c r="K13" s="66"/>
    </row>
    <row r="14" s="28" customFormat="1" spans="1:11">
      <c r="A14" s="54" t="s">
        <v>831</v>
      </c>
      <c r="B14" s="55"/>
      <c r="C14" s="55"/>
      <c r="D14" s="56" t="str">
        <f t="shared" si="5"/>
        <v/>
      </c>
      <c r="E14" s="55"/>
      <c r="F14" s="57">
        <f t="shared" si="1"/>
        <v>0</v>
      </c>
      <c r="G14" s="56">
        <f t="shared" si="2"/>
        <v>0</v>
      </c>
      <c r="H14" s="55"/>
      <c r="I14" s="57">
        <f t="shared" si="6"/>
        <v>0</v>
      </c>
      <c r="J14" s="56" t="str">
        <f t="shared" si="7"/>
        <v/>
      </c>
      <c r="K14" s="66"/>
    </row>
    <row r="15" s="28" customFormat="1" spans="1:11">
      <c r="A15" s="54" t="s">
        <v>832</v>
      </c>
      <c r="B15" s="55"/>
      <c r="C15" s="55"/>
      <c r="D15" s="56" t="str">
        <f t="shared" si="5"/>
        <v/>
      </c>
      <c r="E15" s="55"/>
      <c r="F15" s="57">
        <f t="shared" si="1"/>
        <v>0</v>
      </c>
      <c r="G15" s="56">
        <f t="shared" si="2"/>
        <v>0</v>
      </c>
      <c r="H15" s="55"/>
      <c r="I15" s="57">
        <f t="shared" si="6"/>
        <v>0</v>
      </c>
      <c r="J15" s="56" t="str">
        <f t="shared" si="7"/>
        <v/>
      </c>
      <c r="K15" s="66"/>
    </row>
    <row r="16" s="28" customFormat="1" spans="1:11">
      <c r="A16" s="54" t="s">
        <v>833</v>
      </c>
      <c r="B16" s="55"/>
      <c r="C16" s="55"/>
      <c r="D16" s="56" t="str">
        <f t="shared" si="5"/>
        <v/>
      </c>
      <c r="E16" s="55"/>
      <c r="F16" s="57">
        <f t="shared" si="1"/>
        <v>0</v>
      </c>
      <c r="G16" s="56">
        <f t="shared" si="2"/>
        <v>0</v>
      </c>
      <c r="H16" s="55"/>
      <c r="I16" s="57">
        <f t="shared" si="6"/>
        <v>0</v>
      </c>
      <c r="J16" s="56" t="str">
        <f t="shared" si="7"/>
        <v/>
      </c>
      <c r="K16" s="66"/>
    </row>
    <row r="17" s="28" customFormat="1" spans="1:11">
      <c r="A17" s="54" t="s">
        <v>834</v>
      </c>
      <c r="B17" s="55"/>
      <c r="C17" s="55"/>
      <c r="D17" s="56" t="str">
        <f t="shared" si="5"/>
        <v/>
      </c>
      <c r="E17" s="55"/>
      <c r="F17" s="57">
        <f t="shared" si="1"/>
        <v>0</v>
      </c>
      <c r="G17" s="56">
        <f t="shared" si="2"/>
        <v>0</v>
      </c>
      <c r="H17" s="55"/>
      <c r="I17" s="57">
        <f t="shared" si="6"/>
        <v>0</v>
      </c>
      <c r="J17" s="56" t="str">
        <f t="shared" si="7"/>
        <v/>
      </c>
      <c r="K17" s="66"/>
    </row>
    <row r="18" s="28" customFormat="1" spans="1:11">
      <c r="A18" s="54" t="s">
        <v>835</v>
      </c>
      <c r="B18" s="55"/>
      <c r="C18" s="55"/>
      <c r="D18" s="56" t="str">
        <f t="shared" si="5"/>
        <v/>
      </c>
      <c r="E18" s="55"/>
      <c r="F18" s="57">
        <f t="shared" si="1"/>
        <v>0</v>
      </c>
      <c r="G18" s="56">
        <f t="shared" si="2"/>
        <v>0</v>
      </c>
      <c r="H18" s="55"/>
      <c r="I18" s="57">
        <f t="shared" si="6"/>
        <v>0</v>
      </c>
      <c r="J18" s="56" t="str">
        <f t="shared" si="7"/>
        <v/>
      </c>
      <c r="K18" s="66"/>
    </row>
    <row r="19" s="50" customFormat="1" spans="1:11">
      <c r="A19" s="54" t="s">
        <v>836</v>
      </c>
      <c r="B19" s="55"/>
      <c r="C19" s="55"/>
      <c r="D19" s="56" t="str">
        <f t="shared" si="5"/>
        <v/>
      </c>
      <c r="E19" s="55"/>
      <c r="F19" s="57">
        <f t="shared" si="1"/>
        <v>0</v>
      </c>
      <c r="G19" s="56">
        <f t="shared" si="2"/>
        <v>0</v>
      </c>
      <c r="H19" s="55"/>
      <c r="I19" s="57">
        <f t="shared" si="6"/>
        <v>0</v>
      </c>
      <c r="J19" s="56" t="str">
        <f t="shared" si="7"/>
        <v/>
      </c>
      <c r="K19" s="66"/>
    </row>
    <row r="20" s="50" customFormat="1" spans="1:11">
      <c r="A20" s="54" t="s">
        <v>837</v>
      </c>
      <c r="B20" s="55"/>
      <c r="C20" s="55"/>
      <c r="D20" s="56" t="str">
        <f t="shared" si="5"/>
        <v/>
      </c>
      <c r="E20" s="55"/>
      <c r="F20" s="57">
        <f t="shared" si="1"/>
        <v>0</v>
      </c>
      <c r="G20" s="56">
        <f t="shared" si="2"/>
        <v>0</v>
      </c>
      <c r="H20" s="55"/>
      <c r="I20" s="57">
        <f t="shared" si="6"/>
        <v>0</v>
      </c>
      <c r="J20" s="56" t="str">
        <f t="shared" si="7"/>
        <v/>
      </c>
      <c r="K20" s="66"/>
    </row>
    <row r="21" s="28" customFormat="1" spans="1:11">
      <c r="A21" s="54" t="s">
        <v>838</v>
      </c>
      <c r="B21" s="55">
        <v>1775</v>
      </c>
      <c r="C21" s="55">
        <v>785</v>
      </c>
      <c r="D21" s="56">
        <f t="shared" si="5"/>
        <v>44.2253521126761</v>
      </c>
      <c r="E21" s="55">
        <v>755</v>
      </c>
      <c r="F21" s="57">
        <f t="shared" si="1"/>
        <v>30</v>
      </c>
      <c r="G21" s="56">
        <f t="shared" si="2"/>
        <v>3.97350993377483</v>
      </c>
      <c r="H21" s="55">
        <f>H22</f>
        <v>2471</v>
      </c>
      <c r="I21" s="57">
        <f t="shared" si="6"/>
        <v>1686</v>
      </c>
      <c r="J21" s="56">
        <f t="shared" si="7"/>
        <v>214.777070063694</v>
      </c>
      <c r="K21" s="66"/>
    </row>
    <row r="22" s="3" customFormat="1" spans="1:11">
      <c r="A22" s="19" t="s">
        <v>839</v>
      </c>
      <c r="B22" s="55">
        <v>1775</v>
      </c>
      <c r="C22" s="55">
        <v>785</v>
      </c>
      <c r="D22" s="56"/>
      <c r="E22" s="55">
        <v>755</v>
      </c>
      <c r="F22" s="57">
        <f t="shared" si="1"/>
        <v>30</v>
      </c>
      <c r="G22" s="56">
        <f t="shared" si="2"/>
        <v>3.97350993377483</v>
      </c>
      <c r="H22" s="55">
        <v>2471</v>
      </c>
      <c r="I22" s="57">
        <v>0</v>
      </c>
      <c r="J22" s="56"/>
      <c r="K22" s="66"/>
    </row>
    <row r="23" s="3" customFormat="1" ht="27" spans="1:11">
      <c r="A23" s="19" t="s">
        <v>840</v>
      </c>
      <c r="B23" s="55">
        <v>1775</v>
      </c>
      <c r="C23" s="55">
        <v>785</v>
      </c>
      <c r="D23" s="56"/>
      <c r="E23" s="55">
        <v>755</v>
      </c>
      <c r="F23" s="57">
        <f t="shared" si="1"/>
        <v>30</v>
      </c>
      <c r="G23" s="56">
        <f t="shared" si="2"/>
        <v>3.97350993377483</v>
      </c>
      <c r="H23" s="55">
        <f>3156-685</f>
        <v>2471</v>
      </c>
      <c r="I23" s="57">
        <v>0</v>
      </c>
      <c r="J23" s="56"/>
      <c r="K23" s="66"/>
    </row>
    <row r="24" s="28" customFormat="1" spans="1:11">
      <c r="A24" s="46" t="s">
        <v>841</v>
      </c>
      <c r="B24" s="58">
        <f>SUM(B7:B21)</f>
        <v>1775</v>
      </c>
      <c r="C24" s="58">
        <f>SUM(C7:C21)-C11</f>
        <v>785</v>
      </c>
      <c r="D24" s="59">
        <f>IF(B24=0,"",C24/B24*100)</f>
        <v>44.2253521126761</v>
      </c>
      <c r="E24" s="58">
        <f>SUM(E7:E21)-E11</f>
        <v>3850</v>
      </c>
      <c r="F24" s="60">
        <f t="shared" si="1"/>
        <v>-3065</v>
      </c>
      <c r="G24" s="61">
        <f t="shared" si="2"/>
        <v>-79.6103896103896</v>
      </c>
      <c r="H24" s="58">
        <f>SUM(H7:H21)</f>
        <v>2471</v>
      </c>
      <c r="I24" s="67">
        <f t="shared" ref="I24:I29" si="8">H24-C24</f>
        <v>1686</v>
      </c>
      <c r="J24" s="68">
        <f t="shared" ref="J24:J29" si="9">IF(C24=0,"",I24/C24*100)</f>
        <v>214.777070063694</v>
      </c>
      <c r="K24" s="69"/>
    </row>
    <row r="25" s="28" customFormat="1" spans="1:11">
      <c r="A25" s="46" t="s">
        <v>56</v>
      </c>
      <c r="B25" s="58">
        <f>SUM(B26:B29)</f>
        <v>2515</v>
      </c>
      <c r="C25" s="58">
        <f t="shared" ref="C25:H25" si="10">SUM(C26:C29)</f>
        <v>23413</v>
      </c>
      <c r="D25" s="59"/>
      <c r="E25" s="58">
        <f t="shared" si="10"/>
        <v>57137</v>
      </c>
      <c r="F25" s="60"/>
      <c r="G25" s="61"/>
      <c r="H25" s="58">
        <f t="shared" si="10"/>
        <v>3791</v>
      </c>
      <c r="I25" s="67">
        <f t="shared" si="8"/>
        <v>-19622</v>
      </c>
      <c r="J25" s="68">
        <f t="shared" si="9"/>
        <v>-83.8081407764917</v>
      </c>
      <c r="K25" s="69"/>
    </row>
    <row r="26" s="50" customFormat="1" spans="1:11">
      <c r="A26" s="62" t="s">
        <v>842</v>
      </c>
      <c r="B26" s="55">
        <v>7</v>
      </c>
      <c r="C26" s="55">
        <v>526</v>
      </c>
      <c r="D26" s="63"/>
      <c r="E26" s="55">
        <v>9236</v>
      </c>
      <c r="F26" s="39"/>
      <c r="G26" s="38"/>
      <c r="H26" s="55">
        <v>23</v>
      </c>
      <c r="I26" s="57">
        <f t="shared" si="8"/>
        <v>-503</v>
      </c>
      <c r="J26" s="56">
        <f t="shared" si="9"/>
        <v>-95.6273764258555</v>
      </c>
      <c r="K26" s="66"/>
    </row>
    <row r="27" s="28" customFormat="1" spans="1:11">
      <c r="A27" s="62" t="s">
        <v>843</v>
      </c>
      <c r="B27" s="55">
        <v>2508</v>
      </c>
      <c r="C27" s="55">
        <v>2887</v>
      </c>
      <c r="D27" s="63"/>
      <c r="E27" s="55">
        <v>901</v>
      </c>
      <c r="F27" s="39"/>
      <c r="G27" s="38"/>
      <c r="H27" s="55">
        <f>[1]政府基金支出!C133</f>
        <v>3768</v>
      </c>
      <c r="I27" s="57">
        <f t="shared" si="8"/>
        <v>881</v>
      </c>
      <c r="J27" s="56">
        <f t="shared" si="9"/>
        <v>30.5161066851403</v>
      </c>
      <c r="K27" s="66"/>
    </row>
    <row r="28" s="28" customFormat="1" spans="1:11">
      <c r="A28" s="62" t="s">
        <v>844</v>
      </c>
      <c r="B28" s="55"/>
      <c r="C28" s="55"/>
      <c r="D28" s="63"/>
      <c r="E28" s="55"/>
      <c r="F28" s="39"/>
      <c r="G28" s="38"/>
      <c r="H28" s="55"/>
      <c r="I28" s="57">
        <f t="shared" si="8"/>
        <v>0</v>
      </c>
      <c r="J28" s="56" t="str">
        <f t="shared" si="9"/>
        <v/>
      </c>
      <c r="K28" s="66"/>
    </row>
    <row r="29" s="28" customFormat="1" spans="1:11">
      <c r="A29" s="62" t="s">
        <v>845</v>
      </c>
      <c r="B29" s="55"/>
      <c r="C29" s="55">
        <v>20000</v>
      </c>
      <c r="D29" s="63"/>
      <c r="E29" s="55">
        <v>47000</v>
      </c>
      <c r="F29" s="39"/>
      <c r="G29" s="38"/>
      <c r="H29" s="55"/>
      <c r="I29" s="57">
        <f t="shared" si="8"/>
        <v>-20000</v>
      </c>
      <c r="J29" s="56">
        <f t="shared" si="9"/>
        <v>-100</v>
      </c>
      <c r="K29" s="66"/>
    </row>
    <row r="30" s="28" customFormat="1" spans="1:11">
      <c r="A30" s="62" t="s">
        <v>846</v>
      </c>
      <c r="B30" s="55"/>
      <c r="C30" s="55">
        <v>20000</v>
      </c>
      <c r="D30" s="63"/>
      <c r="E30" s="55">
        <v>47000</v>
      </c>
      <c r="F30" s="39"/>
      <c r="G30" s="38"/>
      <c r="H30" s="55"/>
      <c r="I30" s="57"/>
      <c r="J30" s="56"/>
      <c r="K30" s="66"/>
    </row>
    <row r="31" s="28" customFormat="1" spans="1:11">
      <c r="A31" s="46" t="s">
        <v>139</v>
      </c>
      <c r="B31" s="58">
        <f>SUM(B24,B25)</f>
        <v>4290</v>
      </c>
      <c r="C31" s="58">
        <f t="shared" ref="C31:H31" si="11">SUM(C24,C25)</f>
        <v>24198</v>
      </c>
      <c r="D31" s="59"/>
      <c r="E31" s="58">
        <f t="shared" si="11"/>
        <v>60987</v>
      </c>
      <c r="F31" s="60"/>
      <c r="G31" s="61"/>
      <c r="H31" s="58">
        <f t="shared" si="11"/>
        <v>6262</v>
      </c>
      <c r="I31" s="67">
        <f>H31-C31</f>
        <v>-17936</v>
      </c>
      <c r="J31" s="68">
        <f>IF(C31=0,"",I31/C31*100)</f>
        <v>-74.1218282502686</v>
      </c>
      <c r="K31" s="69"/>
    </row>
    <row r="32" s="28" customFormat="1" spans="3:9">
      <c r="C32" s="64"/>
      <c r="I32" s="51"/>
    </row>
    <row r="33" s="28" customFormat="1" spans="3:9">
      <c r="C33" s="64"/>
      <c r="I33" s="51"/>
    </row>
    <row r="34" s="28" customFormat="1" spans="3:9">
      <c r="C34" s="64"/>
      <c r="I34" s="51"/>
    </row>
    <row r="35" s="28" customFormat="1" spans="3:9">
      <c r="C35" s="64"/>
      <c r="I35" s="51"/>
    </row>
    <row r="36" s="28" customFormat="1" spans="3:9">
      <c r="C36" s="64"/>
      <c r="I36" s="51"/>
    </row>
    <row r="37" s="28" customFormat="1" spans="3:9">
      <c r="C37" s="64"/>
      <c r="I37" s="51"/>
    </row>
    <row r="38" s="28" customFormat="1" spans="3:9">
      <c r="C38" s="64"/>
      <c r="I38" s="51"/>
    </row>
    <row r="39" s="28" customFormat="1" spans="3:9">
      <c r="C39" s="64"/>
      <c r="I39" s="51"/>
    </row>
    <row r="40" s="28" customFormat="1" spans="9:9">
      <c r="I40" s="51"/>
    </row>
    <row r="41" s="28" customFormat="1" spans="9:9">
      <c r="I41" s="51"/>
    </row>
    <row r="42" s="28" customFormat="1" spans="9:9">
      <c r="I42" s="51"/>
    </row>
    <row r="43" s="28" customFormat="1" spans="9:9">
      <c r="I43" s="51"/>
    </row>
    <row r="44" s="28" customFormat="1" spans="9:9">
      <c r="I44" s="51"/>
    </row>
    <row r="45" s="28" customFormat="1" spans="9:9">
      <c r="I45" s="51"/>
    </row>
    <row r="46" s="28" customFormat="1" spans="9:9">
      <c r="I46" s="51"/>
    </row>
    <row r="47" s="28" customFormat="1" spans="9:9">
      <c r="I47" s="51"/>
    </row>
    <row r="48" s="28" customFormat="1" spans="9:9">
      <c r="I48" s="51"/>
    </row>
    <row r="49" s="28" customFormat="1" spans="9:9">
      <c r="I49" s="51"/>
    </row>
    <row r="50" s="28" customFormat="1" spans="9:9">
      <c r="I50" s="51"/>
    </row>
    <row r="51" s="28" customFormat="1" spans="9:9">
      <c r="I51" s="51"/>
    </row>
    <row r="52" s="28" customFormat="1" spans="9:9">
      <c r="I52" s="51"/>
    </row>
    <row r="53" s="28" customFormat="1" spans="9:9">
      <c r="I53" s="51"/>
    </row>
    <row r="54" s="28" customFormat="1" spans="9:9">
      <c r="I54" s="51"/>
    </row>
    <row r="55" s="28" customFormat="1" spans="9:9">
      <c r="I55" s="51"/>
    </row>
    <row r="56" s="28" customFormat="1" spans="9:9">
      <c r="I56" s="51"/>
    </row>
    <row r="57" s="28" customFormat="1" spans="9:9">
      <c r="I57" s="51"/>
    </row>
    <row r="58" s="28" customFormat="1" spans="9:9">
      <c r="I58" s="51"/>
    </row>
    <row r="59" s="28" customFormat="1" spans="9:9">
      <c r="I59" s="51"/>
    </row>
    <row r="60" s="28" customFormat="1" spans="9:9">
      <c r="I60" s="51"/>
    </row>
    <row r="61" s="28" customFormat="1" spans="9:9">
      <c r="I61" s="51"/>
    </row>
    <row r="62" s="28" customFormat="1" spans="9:9">
      <c r="I62" s="51"/>
    </row>
    <row r="63" s="28" customFormat="1" spans="9:9">
      <c r="I63" s="51"/>
    </row>
    <row r="64" s="28" customFormat="1" spans="9:9">
      <c r="I64" s="51"/>
    </row>
    <row r="65" s="28" customFormat="1" spans="9:9">
      <c r="I65" s="51"/>
    </row>
    <row r="66" s="28" customFormat="1" spans="9:9">
      <c r="I66" s="51"/>
    </row>
    <row r="67" s="28" customFormat="1" spans="9:9">
      <c r="I67" s="51"/>
    </row>
    <row r="68" s="28" customFormat="1" spans="9:9">
      <c r="I68" s="51"/>
    </row>
    <row r="69" s="28" customFormat="1" spans="9:9">
      <c r="I69" s="51"/>
    </row>
    <row r="70" s="28" customFormat="1" spans="9:9">
      <c r="I70" s="51"/>
    </row>
    <row r="71" s="28" customFormat="1" spans="9:9">
      <c r="I71" s="51"/>
    </row>
    <row r="72" s="28" customFormat="1" spans="9:9">
      <c r="I72" s="51"/>
    </row>
    <row r="73" s="28" customFormat="1" spans="9:9">
      <c r="I73" s="51"/>
    </row>
    <row r="74" s="28" customFormat="1" spans="9:9">
      <c r="I74" s="51"/>
    </row>
    <row r="75" s="28" customFormat="1" spans="9:9">
      <c r="I75" s="51"/>
    </row>
    <row r="76" s="28" customFormat="1" spans="9:9">
      <c r="I76" s="51"/>
    </row>
    <row r="77" s="28" customFormat="1" spans="9:9">
      <c r="I77" s="51"/>
    </row>
    <row r="78" s="28" customFormat="1" spans="9:9">
      <c r="I78" s="51"/>
    </row>
    <row r="79" s="28" customFormat="1" spans="9:9">
      <c r="I79" s="51"/>
    </row>
    <row r="80" s="28" customFormat="1" spans="9:9">
      <c r="I80" s="51"/>
    </row>
    <row r="81" s="28" customFormat="1" spans="9:9">
      <c r="I81" s="51"/>
    </row>
    <row r="82" s="28" customFormat="1" spans="9:9">
      <c r="I82" s="51"/>
    </row>
    <row r="83" s="28" customFormat="1" spans="9:9">
      <c r="I83" s="51"/>
    </row>
    <row r="84" s="28" customFormat="1" spans="9:9">
      <c r="I84" s="51"/>
    </row>
    <row r="85" s="28" customFormat="1" spans="9:9">
      <c r="I85" s="51"/>
    </row>
    <row r="86" s="28" customFormat="1" spans="9:9">
      <c r="I86" s="51"/>
    </row>
    <row r="87" s="28" customFormat="1" spans="9:9">
      <c r="I87" s="51"/>
    </row>
    <row r="88" s="28" customFormat="1" spans="9:9">
      <c r="I88" s="51"/>
    </row>
    <row r="89" s="28" customFormat="1" spans="9:9">
      <c r="I89" s="51"/>
    </row>
    <row r="90" s="28" customFormat="1" spans="9:9">
      <c r="I90" s="51"/>
    </row>
    <row r="91" s="28" customFormat="1" spans="9:9">
      <c r="I91" s="51"/>
    </row>
    <row r="92" s="28" customFormat="1" spans="9:9">
      <c r="I92" s="51"/>
    </row>
    <row r="93" s="28" customFormat="1" spans="9:9">
      <c r="I93" s="51"/>
    </row>
    <row r="94" s="28" customFormat="1" spans="9:9">
      <c r="I94" s="51"/>
    </row>
    <row r="95" s="28" customFormat="1" spans="9:9">
      <c r="I95" s="51"/>
    </row>
    <row r="96" s="28" customFormat="1" spans="9:9">
      <c r="I96" s="51"/>
    </row>
    <row r="97" s="28" customFormat="1" spans="9:9">
      <c r="I97" s="51"/>
    </row>
    <row r="98" s="28" customFormat="1" spans="9:9">
      <c r="I98" s="51"/>
    </row>
    <row r="99" s="28" customFormat="1" spans="9:9">
      <c r="I99" s="51"/>
    </row>
    <row r="100" s="28" customFormat="1" spans="9:9">
      <c r="I100" s="51"/>
    </row>
    <row r="101" s="28" customFormat="1" spans="9:9">
      <c r="I101" s="51"/>
    </row>
    <row r="102" s="28" customFormat="1" spans="9:9">
      <c r="I102" s="51"/>
    </row>
    <row r="103" s="28" customFormat="1" spans="9:9">
      <c r="I103" s="51"/>
    </row>
    <row r="104" s="28" customFormat="1" spans="9:9">
      <c r="I104" s="51"/>
    </row>
    <row r="105" s="28" customFormat="1" spans="9:9">
      <c r="I105" s="51"/>
    </row>
    <row r="106" s="28" customFormat="1" spans="9:9">
      <c r="I106" s="51"/>
    </row>
    <row r="107" s="28" customFormat="1" spans="9:9">
      <c r="I107" s="51"/>
    </row>
    <row r="108" s="28" customFormat="1" spans="9:9">
      <c r="I108" s="51"/>
    </row>
    <row r="109" s="28" customFormat="1" spans="9:9">
      <c r="I109" s="51"/>
    </row>
    <row r="110" s="28" customFormat="1" spans="9:9">
      <c r="I110" s="51"/>
    </row>
    <row r="111" s="28" customFormat="1" spans="9:9">
      <c r="I111" s="51"/>
    </row>
    <row r="112" s="28" customFormat="1" spans="9:9">
      <c r="I112" s="51"/>
    </row>
    <row r="113" s="28" customFormat="1" spans="9:9">
      <c r="I113" s="51"/>
    </row>
    <row r="114" s="28" customFormat="1" spans="9:9">
      <c r="I114" s="51"/>
    </row>
    <row r="115" s="28" customFormat="1" spans="9:9">
      <c r="I115" s="51"/>
    </row>
    <row r="116" s="28" customFormat="1" spans="9:9">
      <c r="I116" s="51"/>
    </row>
    <row r="117" s="28" customFormat="1" spans="9:9">
      <c r="I117" s="51"/>
    </row>
    <row r="118" s="28" customFormat="1" spans="9:9">
      <c r="I118" s="51"/>
    </row>
    <row r="119" s="28" customFormat="1" spans="9:9">
      <c r="I119" s="51"/>
    </row>
    <row r="120" s="28" customFormat="1" spans="9:9">
      <c r="I120" s="51"/>
    </row>
    <row r="121" s="28" customFormat="1" spans="9:9">
      <c r="I121" s="51"/>
    </row>
    <row r="122" s="28" customFormat="1" spans="9:9">
      <c r="I122" s="51"/>
    </row>
    <row r="123" s="28" customFormat="1" spans="9:9">
      <c r="I123" s="51"/>
    </row>
    <row r="124" s="28" customFormat="1" spans="9:9">
      <c r="I124" s="51"/>
    </row>
    <row r="125" s="28" customFormat="1" spans="9:9">
      <c r="I125" s="51"/>
    </row>
    <row r="126" s="28" customFormat="1" spans="9:9">
      <c r="I126" s="51"/>
    </row>
    <row r="127" s="28" customFormat="1" spans="9:9">
      <c r="I127" s="51"/>
    </row>
    <row r="128" s="28" customFormat="1" spans="9:9">
      <c r="I128" s="51"/>
    </row>
    <row r="129" s="28" customFormat="1" spans="9:9">
      <c r="I129" s="51"/>
    </row>
    <row r="130" s="28" customFormat="1" spans="9:9">
      <c r="I130" s="51"/>
    </row>
    <row r="131" s="28" customFormat="1" spans="9:9">
      <c r="I131" s="51"/>
    </row>
    <row r="132" s="28" customFormat="1" spans="9:9">
      <c r="I132" s="51"/>
    </row>
    <row r="133" s="28" customFormat="1" spans="9:9">
      <c r="I133" s="51"/>
    </row>
    <row r="134" s="28" customFormat="1" spans="9:9">
      <c r="I134" s="51"/>
    </row>
    <row r="135" s="28" customFormat="1" spans="9:9">
      <c r="I135" s="51"/>
    </row>
    <row r="136" s="28" customFormat="1" spans="9:9">
      <c r="I136" s="51"/>
    </row>
    <row r="137" s="28" customFormat="1" spans="9:9">
      <c r="I137" s="51"/>
    </row>
    <row r="138" s="28" customFormat="1" spans="9:9">
      <c r="I138" s="51"/>
    </row>
    <row r="139" s="28" customFormat="1" spans="9:9">
      <c r="I139" s="51"/>
    </row>
    <row r="140" s="28" customFormat="1" spans="9:9">
      <c r="I140" s="51"/>
    </row>
    <row r="141" s="28" customFormat="1" spans="9:9">
      <c r="I141" s="51"/>
    </row>
    <row r="142" s="28" customFormat="1" spans="9:9">
      <c r="I142" s="51"/>
    </row>
    <row r="143" s="28" customFormat="1" spans="9:9">
      <c r="I143" s="51"/>
    </row>
    <row r="144" s="28" customFormat="1" spans="9:9">
      <c r="I144" s="51"/>
    </row>
    <row r="145" s="28" customFormat="1" spans="9:9">
      <c r="I145" s="51"/>
    </row>
    <row r="146" s="28" customFormat="1" spans="9:9">
      <c r="I146" s="51"/>
    </row>
    <row r="147" s="28" customFormat="1" spans="9:9">
      <c r="I147" s="51"/>
    </row>
    <row r="148" s="28" customFormat="1" spans="9:9">
      <c r="I148" s="51"/>
    </row>
    <row r="149" s="28" customFormat="1" spans="9:9">
      <c r="I149" s="51"/>
    </row>
    <row r="150" s="28" customFormat="1" spans="9:9">
      <c r="I150" s="51"/>
    </row>
    <row r="151" s="28" customFormat="1" spans="1:9">
      <c r="A151" s="29"/>
      <c r="I151" s="51"/>
    </row>
  </sheetData>
  <mergeCells count="13">
    <mergeCell ref="A2:K2"/>
    <mergeCell ref="J3:K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  <mergeCell ref="K4:K6"/>
  </mergeCells>
  <pageMargins left="0.751388888888889" right="0.751388888888889" top="0.590277777777778" bottom="0.865972222222222" header="0.275" footer="0.314583333333333"/>
  <pageSetup paperSize="9" scale="97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7"/>
  <sheetViews>
    <sheetView workbookViewId="0">
      <pane xSplit="1" ySplit="6" topLeftCell="B87" activePane="bottomRight" state="frozen"/>
      <selection/>
      <selection pane="topRight"/>
      <selection pane="bottomLeft"/>
      <selection pane="bottomRight" activeCell="P85" sqref="P85"/>
    </sheetView>
  </sheetViews>
  <sheetFormatPr defaultColWidth="9" defaultRowHeight="14.25"/>
  <cols>
    <col min="1" max="1" width="40.5" style="31" customWidth="1"/>
    <col min="2" max="2" width="9.25" style="28" customWidth="1"/>
    <col min="3" max="4" width="10.3333333333333" style="28" customWidth="1"/>
    <col min="5" max="5" width="13.0833333333333" style="28" customWidth="1"/>
    <col min="6" max="6" width="8.33333333333333" style="28" customWidth="1"/>
    <col min="7" max="7" width="10.3333333333333" style="28" customWidth="1"/>
    <col min="8" max="8" width="9.25" style="28" customWidth="1"/>
    <col min="9" max="9" width="9.33333333333333" style="28" customWidth="1"/>
    <col min="10" max="10" width="11.5" style="28" customWidth="1"/>
    <col min="11" max="11" width="10.8333333333333" style="28" customWidth="1"/>
    <col min="12" max="12" width="5.375" style="28" customWidth="1"/>
    <col min="13" max="19" width="9" style="28"/>
    <col min="20" max="20" width="2.33333333333333" style="28" customWidth="1"/>
    <col min="21" max="16384" width="9" style="28"/>
  </cols>
  <sheetData>
    <row r="1" s="28" customFormat="1" spans="1:1">
      <c r="A1" s="31" t="s">
        <v>847</v>
      </c>
    </row>
    <row r="2" s="28" customFormat="1" ht="28.5" spans="1:11">
      <c r="A2" s="32" t="s">
        <v>848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28" customFormat="1" spans="1:11">
      <c r="A3" s="31"/>
      <c r="J3" s="41"/>
      <c r="K3" s="41" t="s">
        <v>2</v>
      </c>
    </row>
    <row r="4" s="29" customFormat="1" ht="13.5" spans="1:11">
      <c r="A4" s="33" t="s">
        <v>849</v>
      </c>
      <c r="B4" s="34" t="s">
        <v>4</v>
      </c>
      <c r="C4" s="34"/>
      <c r="D4" s="34"/>
      <c r="E4" s="34"/>
      <c r="F4" s="34"/>
      <c r="G4" s="34"/>
      <c r="H4" s="34" t="s">
        <v>5</v>
      </c>
      <c r="I4" s="34"/>
      <c r="J4" s="34"/>
      <c r="K4" s="33" t="s">
        <v>6</v>
      </c>
    </row>
    <row r="5" s="29" customFormat="1" ht="13.5" spans="1:11">
      <c r="A5" s="33"/>
      <c r="B5" s="35" t="s">
        <v>7</v>
      </c>
      <c r="C5" s="34" t="s">
        <v>8</v>
      </c>
      <c r="D5" s="33" t="s">
        <v>822</v>
      </c>
      <c r="E5" s="33" t="s">
        <v>823</v>
      </c>
      <c r="F5" s="34" t="s">
        <v>11</v>
      </c>
      <c r="G5" s="34"/>
      <c r="H5" s="34" t="s">
        <v>12</v>
      </c>
      <c r="I5" s="33" t="s">
        <v>850</v>
      </c>
      <c r="J5" s="33"/>
      <c r="K5" s="33"/>
    </row>
    <row r="6" s="29" customFormat="1" ht="13.5" spans="1:11">
      <c r="A6" s="33"/>
      <c r="B6" s="35"/>
      <c r="C6" s="34"/>
      <c r="D6" s="33"/>
      <c r="E6" s="33"/>
      <c r="F6" s="34" t="s">
        <v>14</v>
      </c>
      <c r="G6" s="34" t="s">
        <v>15</v>
      </c>
      <c r="H6" s="34"/>
      <c r="I6" s="34" t="s">
        <v>14</v>
      </c>
      <c r="J6" s="34" t="s">
        <v>15</v>
      </c>
      <c r="K6" s="33"/>
    </row>
    <row r="7" s="30" customFormat="1" ht="13.5" spans="1:11">
      <c r="A7" s="36" t="s">
        <v>851</v>
      </c>
      <c r="B7" s="37">
        <f>SUM(B8)</f>
        <v>0</v>
      </c>
      <c r="C7" s="37">
        <f t="shared" ref="C7:H7" si="0">SUM(C8)</f>
        <v>0</v>
      </c>
      <c r="D7" s="38">
        <f t="shared" ref="D7:D70" si="1">IF(B7=0,,C7/B7*100)</f>
        <v>0</v>
      </c>
      <c r="E7" s="37">
        <f t="shared" si="0"/>
        <v>0</v>
      </c>
      <c r="F7" s="39">
        <f t="shared" ref="F7:F70" si="2">C7-E7</f>
        <v>0</v>
      </c>
      <c r="G7" s="38">
        <f t="shared" ref="G7:G70" si="3">IF(E7=0,,F7/E7*100)</f>
        <v>0</v>
      </c>
      <c r="H7" s="37">
        <f t="shared" si="0"/>
        <v>0</v>
      </c>
      <c r="I7" s="39">
        <f t="shared" ref="I7:I70" si="4">H7-C7</f>
        <v>0</v>
      </c>
      <c r="J7" s="38">
        <f t="shared" ref="J7:J70" si="5">IF(B7=0,,I7/B7*100)</f>
        <v>0</v>
      </c>
      <c r="K7" s="42"/>
    </row>
    <row r="8" s="29" customFormat="1" ht="13.5" hidden="1" spans="1:11">
      <c r="A8" s="36" t="s">
        <v>852</v>
      </c>
      <c r="B8" s="40"/>
      <c r="C8" s="40"/>
      <c r="D8" s="38">
        <f t="shared" si="1"/>
        <v>0</v>
      </c>
      <c r="E8" s="40"/>
      <c r="F8" s="39">
        <f t="shared" si="2"/>
        <v>0</v>
      </c>
      <c r="G8" s="38">
        <f t="shared" si="3"/>
        <v>0</v>
      </c>
      <c r="H8" s="40"/>
      <c r="I8" s="39">
        <f t="shared" si="4"/>
        <v>0</v>
      </c>
      <c r="J8" s="38">
        <f t="shared" si="5"/>
        <v>0</v>
      </c>
      <c r="K8" s="42"/>
    </row>
    <row r="9" s="30" customFormat="1" ht="13.5" spans="1:11">
      <c r="A9" s="36" t="s">
        <v>853</v>
      </c>
      <c r="B9" s="37">
        <f>SUM(B10,B14,B17)</f>
        <v>299</v>
      </c>
      <c r="C9" s="37">
        <f t="shared" ref="C9:H9" si="6">SUM(C10,C14,C17)</f>
        <v>32</v>
      </c>
      <c r="D9" s="38">
        <f t="shared" si="1"/>
        <v>10.7023411371237</v>
      </c>
      <c r="E9" s="37">
        <f t="shared" si="6"/>
        <v>13</v>
      </c>
      <c r="F9" s="39">
        <f t="shared" si="2"/>
        <v>19</v>
      </c>
      <c r="G9" s="38">
        <f t="shared" si="3"/>
        <v>146.153846153846</v>
      </c>
      <c r="H9" s="37">
        <f t="shared" si="6"/>
        <v>9</v>
      </c>
      <c r="I9" s="39">
        <f t="shared" si="4"/>
        <v>-23</v>
      </c>
      <c r="J9" s="38">
        <f t="shared" si="5"/>
        <v>-7.69230769230769</v>
      </c>
      <c r="K9" s="42"/>
    </row>
    <row r="10" s="29" customFormat="1" ht="13.5" spans="1:11">
      <c r="A10" s="36" t="s">
        <v>854</v>
      </c>
      <c r="B10" s="40">
        <f>SUM(B11:B13)</f>
        <v>9</v>
      </c>
      <c r="C10" s="40">
        <f t="shared" ref="C10:H10" si="7">SUM(C11:C13)</f>
        <v>11</v>
      </c>
      <c r="D10" s="38">
        <f t="shared" si="1"/>
        <v>122.222222222222</v>
      </c>
      <c r="E10" s="40">
        <f t="shared" si="7"/>
        <v>0</v>
      </c>
      <c r="F10" s="39">
        <f t="shared" si="2"/>
        <v>11</v>
      </c>
      <c r="G10" s="38">
        <f t="shared" si="3"/>
        <v>0</v>
      </c>
      <c r="H10" s="40">
        <f t="shared" si="7"/>
        <v>8</v>
      </c>
      <c r="I10" s="39">
        <f t="shared" si="4"/>
        <v>-3</v>
      </c>
      <c r="J10" s="38">
        <f t="shared" si="5"/>
        <v>-33.3333333333333</v>
      </c>
      <c r="K10" s="42"/>
    </row>
    <row r="11" s="29" customFormat="1" ht="13.5" hidden="1" spans="1:11">
      <c r="A11" s="36" t="s">
        <v>855</v>
      </c>
      <c r="B11" s="40"/>
      <c r="C11" s="40"/>
      <c r="D11" s="38">
        <f t="shared" si="1"/>
        <v>0</v>
      </c>
      <c r="E11" s="40"/>
      <c r="F11" s="39">
        <f t="shared" si="2"/>
        <v>0</v>
      </c>
      <c r="G11" s="38">
        <f t="shared" si="3"/>
        <v>0</v>
      </c>
      <c r="H11" s="40"/>
      <c r="I11" s="39">
        <f t="shared" si="4"/>
        <v>0</v>
      </c>
      <c r="J11" s="38">
        <f t="shared" si="5"/>
        <v>0</v>
      </c>
      <c r="K11" s="42"/>
    </row>
    <row r="12" s="29" customFormat="1" ht="13.5" hidden="1" spans="1:11">
      <c r="A12" s="36" t="s">
        <v>856</v>
      </c>
      <c r="B12" s="40"/>
      <c r="C12" s="40"/>
      <c r="D12" s="38">
        <f t="shared" si="1"/>
        <v>0</v>
      </c>
      <c r="E12" s="40"/>
      <c r="F12" s="39">
        <f t="shared" si="2"/>
        <v>0</v>
      </c>
      <c r="G12" s="38">
        <f t="shared" si="3"/>
        <v>0</v>
      </c>
      <c r="H12" s="40"/>
      <c r="I12" s="39">
        <f t="shared" si="4"/>
        <v>0</v>
      </c>
      <c r="J12" s="38">
        <f t="shared" si="5"/>
        <v>0</v>
      </c>
      <c r="K12" s="42"/>
    </row>
    <row r="13" s="29" customFormat="1" ht="13.5" spans="1:11">
      <c r="A13" s="36" t="s">
        <v>857</v>
      </c>
      <c r="B13" s="40">
        <v>9</v>
      </c>
      <c r="C13" s="40">
        <v>11</v>
      </c>
      <c r="D13" s="38">
        <f t="shared" si="1"/>
        <v>122.222222222222</v>
      </c>
      <c r="E13" s="40"/>
      <c r="F13" s="39">
        <f t="shared" si="2"/>
        <v>11</v>
      </c>
      <c r="G13" s="38">
        <f t="shared" si="3"/>
        <v>0</v>
      </c>
      <c r="H13" s="40">
        <v>8</v>
      </c>
      <c r="I13" s="39">
        <f t="shared" si="4"/>
        <v>-3</v>
      </c>
      <c r="J13" s="38">
        <f t="shared" si="5"/>
        <v>-33.3333333333333</v>
      </c>
      <c r="K13" s="42"/>
    </row>
    <row r="14" s="29" customFormat="1" ht="13.5" spans="1:11">
      <c r="A14" s="36" t="s">
        <v>858</v>
      </c>
      <c r="B14" s="40">
        <f>SUM(B15:B16)</f>
        <v>290</v>
      </c>
      <c r="C14" s="40">
        <f t="shared" ref="C14:H14" si="8">SUM(C15:C16)</f>
        <v>21</v>
      </c>
      <c r="D14" s="38">
        <f t="shared" si="1"/>
        <v>7.24137931034483</v>
      </c>
      <c r="E14" s="40">
        <f t="shared" si="8"/>
        <v>13</v>
      </c>
      <c r="F14" s="39">
        <f t="shared" si="2"/>
        <v>8</v>
      </c>
      <c r="G14" s="38">
        <f t="shared" si="3"/>
        <v>61.5384615384615</v>
      </c>
      <c r="H14" s="40">
        <f t="shared" si="8"/>
        <v>1</v>
      </c>
      <c r="I14" s="39">
        <f t="shared" si="4"/>
        <v>-20</v>
      </c>
      <c r="J14" s="38">
        <f t="shared" si="5"/>
        <v>-6.89655172413793</v>
      </c>
      <c r="K14" s="42"/>
    </row>
    <row r="15" s="29" customFormat="1" ht="13.5" spans="1:11">
      <c r="A15" s="36" t="s">
        <v>859</v>
      </c>
      <c r="B15" s="40"/>
      <c r="C15" s="40">
        <v>21</v>
      </c>
      <c r="D15" s="38">
        <f t="shared" si="1"/>
        <v>0</v>
      </c>
      <c r="E15" s="40">
        <v>13</v>
      </c>
      <c r="F15" s="39">
        <f t="shared" si="2"/>
        <v>8</v>
      </c>
      <c r="G15" s="38">
        <f t="shared" si="3"/>
        <v>61.5384615384615</v>
      </c>
      <c r="H15" s="40">
        <v>1</v>
      </c>
      <c r="I15" s="39">
        <f t="shared" si="4"/>
        <v>-20</v>
      </c>
      <c r="J15" s="38">
        <f t="shared" si="5"/>
        <v>0</v>
      </c>
      <c r="K15" s="42"/>
    </row>
    <row r="16" s="29" customFormat="1" ht="13.5" spans="1:11">
      <c r="A16" s="36" t="s">
        <v>860</v>
      </c>
      <c r="B16" s="40">
        <v>290</v>
      </c>
      <c r="C16" s="40"/>
      <c r="D16" s="38">
        <f t="shared" si="1"/>
        <v>0</v>
      </c>
      <c r="E16" s="40"/>
      <c r="F16" s="39">
        <f t="shared" si="2"/>
        <v>0</v>
      </c>
      <c r="G16" s="38">
        <f t="shared" si="3"/>
        <v>0</v>
      </c>
      <c r="H16" s="40"/>
      <c r="I16" s="39">
        <f t="shared" si="4"/>
        <v>0</v>
      </c>
      <c r="J16" s="38">
        <f t="shared" si="5"/>
        <v>0</v>
      </c>
      <c r="K16" s="42"/>
    </row>
    <row r="17" s="30" customFormat="1" ht="27" hidden="1" spans="1:11">
      <c r="A17" s="36" t="s">
        <v>861</v>
      </c>
      <c r="B17" s="40"/>
      <c r="C17" s="40"/>
      <c r="D17" s="38">
        <f t="shared" si="1"/>
        <v>0</v>
      </c>
      <c r="E17" s="40"/>
      <c r="F17" s="39">
        <f t="shared" si="2"/>
        <v>0</v>
      </c>
      <c r="G17" s="38">
        <f t="shared" si="3"/>
        <v>0</v>
      </c>
      <c r="H17" s="40"/>
      <c r="I17" s="39">
        <f t="shared" si="4"/>
        <v>0</v>
      </c>
      <c r="J17" s="38">
        <f t="shared" si="5"/>
        <v>0</v>
      </c>
      <c r="K17" s="42"/>
    </row>
    <row r="18" s="29" customFormat="1" ht="13.5" spans="1:20">
      <c r="A18" s="36" t="s">
        <v>862</v>
      </c>
      <c r="B18" s="37">
        <f>SUM(B19,B23,B24)</f>
        <v>41</v>
      </c>
      <c r="C18" s="37">
        <f t="shared" ref="C18:H18" si="9">SUM(C19,C23,C24)</f>
        <v>0</v>
      </c>
      <c r="D18" s="38">
        <f t="shared" si="1"/>
        <v>0</v>
      </c>
      <c r="E18" s="37">
        <f t="shared" si="9"/>
        <v>7</v>
      </c>
      <c r="F18" s="39">
        <f t="shared" si="2"/>
        <v>-7</v>
      </c>
      <c r="G18" s="38">
        <f t="shared" si="3"/>
        <v>-100</v>
      </c>
      <c r="H18" s="37">
        <f t="shared" si="9"/>
        <v>3</v>
      </c>
      <c r="I18" s="39">
        <f t="shared" si="4"/>
        <v>3</v>
      </c>
      <c r="J18" s="38">
        <f t="shared" si="5"/>
        <v>7.31707317073171</v>
      </c>
      <c r="K18" s="42"/>
      <c r="T18" s="29" t="s">
        <v>863</v>
      </c>
    </row>
    <row r="19" s="29" customFormat="1" ht="13.5" spans="1:11">
      <c r="A19" s="36" t="s">
        <v>864</v>
      </c>
      <c r="B19" s="40">
        <f>SUM(B20:B22)</f>
        <v>2</v>
      </c>
      <c r="C19" s="40">
        <f t="shared" ref="C19:H19" si="10">SUM(C20:C22)</f>
        <v>0</v>
      </c>
      <c r="D19" s="38">
        <f t="shared" si="1"/>
        <v>0</v>
      </c>
      <c r="E19" s="40">
        <f t="shared" si="10"/>
        <v>7</v>
      </c>
      <c r="F19" s="39">
        <f t="shared" si="2"/>
        <v>-7</v>
      </c>
      <c r="G19" s="38">
        <f t="shared" si="3"/>
        <v>-100</v>
      </c>
      <c r="H19" s="40">
        <f t="shared" si="10"/>
        <v>2</v>
      </c>
      <c r="I19" s="39">
        <f t="shared" si="4"/>
        <v>2</v>
      </c>
      <c r="J19" s="38">
        <f t="shared" si="5"/>
        <v>100</v>
      </c>
      <c r="K19" s="42"/>
    </row>
    <row r="20" s="29" customFormat="1" ht="13.5" hidden="1" spans="1:11">
      <c r="A20" s="36" t="s">
        <v>865</v>
      </c>
      <c r="B20" s="40"/>
      <c r="C20" s="40"/>
      <c r="D20" s="38">
        <f t="shared" si="1"/>
        <v>0</v>
      </c>
      <c r="E20" s="40"/>
      <c r="F20" s="39">
        <f t="shared" si="2"/>
        <v>0</v>
      </c>
      <c r="G20" s="38">
        <f t="shared" si="3"/>
        <v>0</v>
      </c>
      <c r="H20" s="40"/>
      <c r="I20" s="39">
        <f t="shared" si="4"/>
        <v>0</v>
      </c>
      <c r="J20" s="38">
        <f t="shared" si="5"/>
        <v>0</v>
      </c>
      <c r="K20" s="42"/>
    </row>
    <row r="21" s="29" customFormat="1" ht="13.5" spans="1:11">
      <c r="A21" s="36" t="s">
        <v>866</v>
      </c>
      <c r="B21" s="40">
        <v>2</v>
      </c>
      <c r="C21" s="40"/>
      <c r="D21" s="38">
        <f t="shared" si="1"/>
        <v>0</v>
      </c>
      <c r="E21" s="40">
        <v>7</v>
      </c>
      <c r="F21" s="39">
        <f t="shared" si="2"/>
        <v>-7</v>
      </c>
      <c r="G21" s="38">
        <f t="shared" si="3"/>
        <v>-100</v>
      </c>
      <c r="H21" s="40">
        <v>2</v>
      </c>
      <c r="I21" s="39">
        <f t="shared" si="4"/>
        <v>2</v>
      </c>
      <c r="J21" s="38">
        <f t="shared" si="5"/>
        <v>100</v>
      </c>
      <c r="K21" s="42"/>
    </row>
    <row r="22" s="30" customFormat="1" ht="13.5" spans="1:11">
      <c r="A22" s="36" t="s">
        <v>867</v>
      </c>
      <c r="B22" s="40"/>
      <c r="C22" s="40"/>
      <c r="D22" s="38">
        <f t="shared" si="1"/>
        <v>0</v>
      </c>
      <c r="E22" s="40"/>
      <c r="F22" s="39">
        <f t="shared" si="2"/>
        <v>0</v>
      </c>
      <c r="G22" s="38">
        <f t="shared" si="3"/>
        <v>0</v>
      </c>
      <c r="H22" s="40"/>
      <c r="I22" s="39">
        <f t="shared" si="4"/>
        <v>0</v>
      </c>
      <c r="J22" s="38">
        <f t="shared" si="5"/>
        <v>0</v>
      </c>
      <c r="K22" s="42"/>
    </row>
    <row r="23" s="30" customFormat="1" ht="13.5" spans="1:11">
      <c r="A23" s="36" t="s">
        <v>868</v>
      </c>
      <c r="B23" s="40">
        <v>39</v>
      </c>
      <c r="C23" s="40"/>
      <c r="D23" s="38">
        <f t="shared" si="1"/>
        <v>0</v>
      </c>
      <c r="E23" s="40"/>
      <c r="F23" s="39">
        <f t="shared" si="2"/>
        <v>0</v>
      </c>
      <c r="G23" s="38">
        <f t="shared" si="3"/>
        <v>0</v>
      </c>
      <c r="H23" s="40">
        <v>1</v>
      </c>
      <c r="I23" s="39">
        <f t="shared" si="4"/>
        <v>1</v>
      </c>
      <c r="J23" s="38">
        <f t="shared" si="5"/>
        <v>2.56410256410256</v>
      </c>
      <c r="K23" s="42"/>
    </row>
    <row r="24" s="29" customFormat="1" ht="27" hidden="1" spans="1:11">
      <c r="A24" s="36" t="s">
        <v>869</v>
      </c>
      <c r="B24" s="40"/>
      <c r="C24" s="40"/>
      <c r="D24" s="38">
        <f t="shared" si="1"/>
        <v>0</v>
      </c>
      <c r="E24" s="40"/>
      <c r="F24" s="39">
        <f t="shared" si="2"/>
        <v>0</v>
      </c>
      <c r="G24" s="38">
        <f t="shared" si="3"/>
        <v>0</v>
      </c>
      <c r="H24" s="40"/>
      <c r="I24" s="39">
        <f t="shared" si="4"/>
        <v>0</v>
      </c>
      <c r="J24" s="38">
        <f t="shared" si="5"/>
        <v>0</v>
      </c>
      <c r="K24" s="42"/>
    </row>
    <row r="25" s="30" customFormat="1" ht="13.5" spans="1:11">
      <c r="A25" s="36" t="s">
        <v>870</v>
      </c>
      <c r="B25" s="37">
        <f>SUM(B26:B27)</f>
        <v>0</v>
      </c>
      <c r="C25" s="37">
        <f t="shared" ref="C25:H25" si="11">SUM(C26:C27)</f>
        <v>0</v>
      </c>
      <c r="D25" s="38">
        <f t="shared" si="1"/>
        <v>0</v>
      </c>
      <c r="E25" s="37">
        <f t="shared" si="11"/>
        <v>0</v>
      </c>
      <c r="F25" s="39">
        <f t="shared" si="2"/>
        <v>0</v>
      </c>
      <c r="G25" s="38">
        <f t="shared" si="3"/>
        <v>0</v>
      </c>
      <c r="H25" s="37">
        <f t="shared" si="11"/>
        <v>0</v>
      </c>
      <c r="I25" s="39">
        <f t="shared" si="4"/>
        <v>0</v>
      </c>
      <c r="J25" s="38">
        <f t="shared" si="5"/>
        <v>0</v>
      </c>
      <c r="K25" s="42"/>
    </row>
    <row r="26" s="29" customFormat="1" ht="13.5" hidden="1" spans="1:11">
      <c r="A26" s="36" t="s">
        <v>871</v>
      </c>
      <c r="B26" s="37"/>
      <c r="C26" s="37"/>
      <c r="D26" s="38">
        <f t="shared" si="1"/>
        <v>0</v>
      </c>
      <c r="E26" s="37"/>
      <c r="F26" s="39">
        <f t="shared" si="2"/>
        <v>0</v>
      </c>
      <c r="G26" s="38">
        <f t="shared" si="3"/>
        <v>0</v>
      </c>
      <c r="H26" s="37"/>
      <c r="I26" s="39">
        <f t="shared" si="4"/>
        <v>0</v>
      </c>
      <c r="J26" s="38">
        <f t="shared" si="5"/>
        <v>0</v>
      </c>
      <c r="K26" s="42"/>
    </row>
    <row r="27" s="29" customFormat="1" ht="13.5" hidden="1" spans="1:11">
      <c r="A27" s="36" t="s">
        <v>872</v>
      </c>
      <c r="B27" s="40"/>
      <c r="C27" s="40"/>
      <c r="D27" s="38">
        <f t="shared" si="1"/>
        <v>0</v>
      </c>
      <c r="E27" s="40"/>
      <c r="F27" s="39">
        <f t="shared" si="2"/>
        <v>0</v>
      </c>
      <c r="G27" s="38">
        <f t="shared" si="3"/>
        <v>0</v>
      </c>
      <c r="H27" s="40"/>
      <c r="I27" s="39">
        <f t="shared" si="4"/>
        <v>0</v>
      </c>
      <c r="J27" s="38">
        <f t="shared" si="5"/>
        <v>0</v>
      </c>
      <c r="K27" s="42"/>
    </row>
    <row r="28" s="29" customFormat="1" ht="13.5" spans="1:11">
      <c r="A28" s="36" t="s">
        <v>873</v>
      </c>
      <c r="B28" s="37">
        <f>SUM(B29,B42,B46,B47,B53,B57,B58,B59,B60)</f>
        <v>1805</v>
      </c>
      <c r="C28" s="37">
        <f t="shared" ref="C28:H28" si="12">SUM(C29,C42,C46,C47,C53,C57,C58,C59,C60)</f>
        <v>45</v>
      </c>
      <c r="D28" s="38">
        <f t="shared" si="1"/>
        <v>2.49307479224377</v>
      </c>
      <c r="E28" s="37">
        <f t="shared" si="12"/>
        <v>58</v>
      </c>
      <c r="F28" s="39">
        <f t="shared" si="2"/>
        <v>-13</v>
      </c>
      <c r="G28" s="38">
        <f t="shared" si="3"/>
        <v>-22.4137931034483</v>
      </c>
      <c r="H28" s="37">
        <f t="shared" si="12"/>
        <v>2301</v>
      </c>
      <c r="I28" s="39">
        <f t="shared" si="4"/>
        <v>2256</v>
      </c>
      <c r="J28" s="38">
        <f t="shared" si="5"/>
        <v>124.986149584488</v>
      </c>
      <c r="K28" s="42"/>
    </row>
    <row r="29" s="29" customFormat="1" ht="13.5" spans="1:11">
      <c r="A29" s="36" t="s">
        <v>874</v>
      </c>
      <c r="B29" s="40">
        <f>SUM(B30:B41)</f>
        <v>1583</v>
      </c>
      <c r="C29" s="40">
        <f t="shared" ref="C29:H29" si="13">SUM(C30:C41)</f>
        <v>0</v>
      </c>
      <c r="D29" s="38">
        <f t="shared" si="1"/>
        <v>0</v>
      </c>
      <c r="E29" s="40">
        <f t="shared" si="13"/>
        <v>58</v>
      </c>
      <c r="F29" s="39">
        <f t="shared" si="2"/>
        <v>-58</v>
      </c>
      <c r="G29" s="38">
        <f t="shared" si="3"/>
        <v>-100</v>
      </c>
      <c r="H29" s="40">
        <f t="shared" si="13"/>
        <v>2301</v>
      </c>
      <c r="I29" s="39">
        <f t="shared" si="4"/>
        <v>2301</v>
      </c>
      <c r="J29" s="38">
        <f t="shared" si="5"/>
        <v>145.356917245736</v>
      </c>
      <c r="K29" s="43"/>
    </row>
    <row r="30" s="29" customFormat="1" ht="13.5" hidden="1" spans="1:11">
      <c r="A30" s="36" t="s">
        <v>875</v>
      </c>
      <c r="B30" s="40"/>
      <c r="C30" s="40"/>
      <c r="D30" s="38">
        <f t="shared" si="1"/>
        <v>0</v>
      </c>
      <c r="E30" s="40"/>
      <c r="F30" s="39">
        <f t="shared" si="2"/>
        <v>0</v>
      </c>
      <c r="G30" s="38">
        <f t="shared" si="3"/>
        <v>0</v>
      </c>
      <c r="H30" s="40"/>
      <c r="I30" s="39">
        <f t="shared" si="4"/>
        <v>0</v>
      </c>
      <c r="J30" s="38">
        <f t="shared" si="5"/>
        <v>0</v>
      </c>
      <c r="K30" s="44"/>
    </row>
    <row r="31" s="29" customFormat="1" ht="13.5" hidden="1" spans="1:11">
      <c r="A31" s="36" t="s">
        <v>876</v>
      </c>
      <c r="B31" s="40"/>
      <c r="C31" s="40"/>
      <c r="D31" s="38">
        <f t="shared" si="1"/>
        <v>0</v>
      </c>
      <c r="E31" s="40"/>
      <c r="F31" s="39">
        <f t="shared" si="2"/>
        <v>0</v>
      </c>
      <c r="G31" s="38">
        <f t="shared" si="3"/>
        <v>0</v>
      </c>
      <c r="H31" s="40"/>
      <c r="I31" s="39">
        <f t="shared" si="4"/>
        <v>0</v>
      </c>
      <c r="J31" s="38">
        <f t="shared" si="5"/>
        <v>0</v>
      </c>
      <c r="K31" s="42"/>
    </row>
    <row r="32" s="29" customFormat="1" ht="13.5" spans="1:11">
      <c r="A32" s="36" t="s">
        <v>877</v>
      </c>
      <c r="B32" s="40"/>
      <c r="C32" s="40"/>
      <c r="D32" s="38">
        <f t="shared" si="1"/>
        <v>0</v>
      </c>
      <c r="E32" s="40">
        <v>58</v>
      </c>
      <c r="F32" s="39">
        <f t="shared" si="2"/>
        <v>-58</v>
      </c>
      <c r="G32" s="38">
        <f t="shared" si="3"/>
        <v>-100</v>
      </c>
      <c r="H32" s="40"/>
      <c r="I32" s="39">
        <f t="shared" si="4"/>
        <v>0</v>
      </c>
      <c r="J32" s="38">
        <f t="shared" si="5"/>
        <v>0</v>
      </c>
      <c r="K32" s="42"/>
    </row>
    <row r="33" s="29" customFormat="1" ht="13.5" spans="1:11">
      <c r="A33" s="36" t="s">
        <v>878</v>
      </c>
      <c r="B33" s="40">
        <f>1583</f>
        <v>1583</v>
      </c>
      <c r="C33" s="40"/>
      <c r="D33" s="38">
        <f t="shared" si="1"/>
        <v>0</v>
      </c>
      <c r="E33" s="40"/>
      <c r="F33" s="39">
        <f t="shared" si="2"/>
        <v>0</v>
      </c>
      <c r="G33" s="38">
        <f t="shared" si="3"/>
        <v>0</v>
      </c>
      <c r="H33" s="40"/>
      <c r="I33" s="39">
        <f t="shared" si="4"/>
        <v>0</v>
      </c>
      <c r="J33" s="38">
        <f t="shared" si="5"/>
        <v>0</v>
      </c>
      <c r="K33" s="42"/>
    </row>
    <row r="34" s="29" customFormat="1" ht="13.5" hidden="1" spans="1:11">
      <c r="A34" s="36" t="s">
        <v>879</v>
      </c>
      <c r="B34" s="40"/>
      <c r="C34" s="40"/>
      <c r="D34" s="38">
        <f t="shared" si="1"/>
        <v>0</v>
      </c>
      <c r="E34" s="40"/>
      <c r="F34" s="39">
        <f t="shared" si="2"/>
        <v>0</v>
      </c>
      <c r="G34" s="38">
        <f t="shared" si="3"/>
        <v>0</v>
      </c>
      <c r="H34" s="40"/>
      <c r="I34" s="39">
        <f t="shared" si="4"/>
        <v>0</v>
      </c>
      <c r="J34" s="38">
        <f t="shared" si="5"/>
        <v>0</v>
      </c>
      <c r="K34" s="42"/>
    </row>
    <row r="35" s="29" customFormat="1" ht="13.5" hidden="1" spans="1:11">
      <c r="A35" s="36" t="s">
        <v>880</v>
      </c>
      <c r="B35" s="40"/>
      <c r="C35" s="40"/>
      <c r="D35" s="38">
        <f t="shared" si="1"/>
        <v>0</v>
      </c>
      <c r="E35" s="40"/>
      <c r="F35" s="39">
        <f t="shared" si="2"/>
        <v>0</v>
      </c>
      <c r="G35" s="38">
        <f t="shared" si="3"/>
        <v>0</v>
      </c>
      <c r="H35" s="40"/>
      <c r="I35" s="39">
        <f t="shared" si="4"/>
        <v>0</v>
      </c>
      <c r="J35" s="38">
        <f t="shared" si="5"/>
        <v>0</v>
      </c>
      <c r="K35" s="42"/>
    </row>
    <row r="36" s="29" customFormat="1" ht="13.5" hidden="1" spans="1:11">
      <c r="A36" s="36" t="s">
        <v>881</v>
      </c>
      <c r="B36" s="40"/>
      <c r="C36" s="40"/>
      <c r="D36" s="38">
        <f t="shared" si="1"/>
        <v>0</v>
      </c>
      <c r="E36" s="40"/>
      <c r="F36" s="39">
        <f t="shared" si="2"/>
        <v>0</v>
      </c>
      <c r="G36" s="38">
        <f t="shared" si="3"/>
        <v>0</v>
      </c>
      <c r="H36" s="40"/>
      <c r="I36" s="39">
        <f t="shared" si="4"/>
        <v>0</v>
      </c>
      <c r="J36" s="38">
        <f t="shared" si="5"/>
        <v>0</v>
      </c>
      <c r="K36" s="42"/>
    </row>
    <row r="37" s="29" customFormat="1" ht="13.5" hidden="1" spans="1:11">
      <c r="A37" s="36" t="s">
        <v>882</v>
      </c>
      <c r="B37" s="40"/>
      <c r="C37" s="40"/>
      <c r="D37" s="38">
        <f t="shared" si="1"/>
        <v>0</v>
      </c>
      <c r="E37" s="40"/>
      <c r="F37" s="39">
        <f t="shared" si="2"/>
        <v>0</v>
      </c>
      <c r="G37" s="38">
        <f t="shared" si="3"/>
        <v>0</v>
      </c>
      <c r="H37" s="40"/>
      <c r="I37" s="39">
        <f t="shared" si="4"/>
        <v>0</v>
      </c>
      <c r="J37" s="38">
        <f t="shared" si="5"/>
        <v>0</v>
      </c>
      <c r="K37" s="42"/>
    </row>
    <row r="38" s="29" customFormat="1" ht="13.5" hidden="1" spans="1:11">
      <c r="A38" s="36" t="s">
        <v>883</v>
      </c>
      <c r="B38" s="40"/>
      <c r="C38" s="40"/>
      <c r="D38" s="38">
        <f t="shared" si="1"/>
        <v>0</v>
      </c>
      <c r="E38" s="40"/>
      <c r="F38" s="39">
        <f t="shared" si="2"/>
        <v>0</v>
      </c>
      <c r="G38" s="38">
        <f t="shared" si="3"/>
        <v>0</v>
      </c>
      <c r="H38" s="40"/>
      <c r="I38" s="39">
        <f t="shared" si="4"/>
        <v>0</v>
      </c>
      <c r="J38" s="38">
        <f t="shared" si="5"/>
        <v>0</v>
      </c>
      <c r="K38" s="42"/>
    </row>
    <row r="39" s="29" customFormat="1" ht="13.5" hidden="1" spans="1:11">
      <c r="A39" s="36" t="s">
        <v>884</v>
      </c>
      <c r="B39" s="40"/>
      <c r="C39" s="40"/>
      <c r="D39" s="38">
        <f t="shared" si="1"/>
        <v>0</v>
      </c>
      <c r="E39" s="40"/>
      <c r="F39" s="39">
        <f t="shared" si="2"/>
        <v>0</v>
      </c>
      <c r="G39" s="38">
        <f t="shared" si="3"/>
        <v>0</v>
      </c>
      <c r="H39" s="40"/>
      <c r="I39" s="39">
        <f t="shared" si="4"/>
        <v>0</v>
      </c>
      <c r="J39" s="38">
        <f t="shared" si="5"/>
        <v>0</v>
      </c>
      <c r="K39" s="42"/>
    </row>
    <row r="40" s="29" customFormat="1" ht="13.5" hidden="1" spans="1:11">
      <c r="A40" s="36" t="s">
        <v>885</v>
      </c>
      <c r="B40" s="40"/>
      <c r="C40" s="40"/>
      <c r="D40" s="38">
        <f t="shared" si="1"/>
        <v>0</v>
      </c>
      <c r="E40" s="40"/>
      <c r="F40" s="39">
        <f t="shared" si="2"/>
        <v>0</v>
      </c>
      <c r="G40" s="38">
        <f t="shared" si="3"/>
        <v>0</v>
      </c>
      <c r="H40" s="40"/>
      <c r="I40" s="39">
        <f t="shared" si="4"/>
        <v>0</v>
      </c>
      <c r="J40" s="38">
        <f t="shared" si="5"/>
        <v>0</v>
      </c>
      <c r="K40" s="42"/>
    </row>
    <row r="41" s="29" customFormat="1" ht="13.5" spans="1:11">
      <c r="A41" s="36" t="s">
        <v>886</v>
      </c>
      <c r="B41" s="40"/>
      <c r="C41" s="40"/>
      <c r="D41" s="38">
        <f t="shared" si="1"/>
        <v>0</v>
      </c>
      <c r="E41" s="40"/>
      <c r="F41" s="39">
        <f t="shared" si="2"/>
        <v>0</v>
      </c>
      <c r="G41" s="38">
        <f t="shared" si="3"/>
        <v>0</v>
      </c>
      <c r="H41" s="40">
        <v>2301</v>
      </c>
      <c r="I41" s="39">
        <f t="shared" si="4"/>
        <v>2301</v>
      </c>
      <c r="J41" s="38">
        <f t="shared" si="5"/>
        <v>0</v>
      </c>
      <c r="K41" s="42"/>
    </row>
    <row r="42" s="29" customFormat="1" ht="13.5" spans="1:11">
      <c r="A42" s="36" t="s">
        <v>887</v>
      </c>
      <c r="B42" s="40">
        <f>SUM(B43:B45)</f>
        <v>222</v>
      </c>
      <c r="C42" s="40">
        <f t="shared" ref="C42:H42" si="14">SUM(C43:C45)</f>
        <v>45</v>
      </c>
      <c r="D42" s="38">
        <f t="shared" si="1"/>
        <v>20.2702702702703</v>
      </c>
      <c r="E42" s="40">
        <f t="shared" si="14"/>
        <v>0</v>
      </c>
      <c r="F42" s="39">
        <f t="shared" si="2"/>
        <v>45</v>
      </c>
      <c r="G42" s="38">
        <f t="shared" si="3"/>
        <v>0</v>
      </c>
      <c r="H42" s="40">
        <f t="shared" si="14"/>
        <v>0</v>
      </c>
      <c r="I42" s="39">
        <f t="shared" si="4"/>
        <v>-45</v>
      </c>
      <c r="J42" s="38">
        <f t="shared" si="5"/>
        <v>-20.2702702702703</v>
      </c>
      <c r="K42" s="42"/>
    </row>
    <row r="43" s="29" customFormat="1" ht="13.5" hidden="1" spans="1:11">
      <c r="A43" s="36" t="s">
        <v>875</v>
      </c>
      <c r="B43" s="40"/>
      <c r="C43" s="40"/>
      <c r="D43" s="38">
        <f t="shared" si="1"/>
        <v>0</v>
      </c>
      <c r="E43" s="40"/>
      <c r="F43" s="39">
        <f t="shared" si="2"/>
        <v>0</v>
      </c>
      <c r="G43" s="38">
        <f t="shared" si="3"/>
        <v>0</v>
      </c>
      <c r="H43" s="40"/>
      <c r="I43" s="39">
        <f t="shared" si="4"/>
        <v>0</v>
      </c>
      <c r="J43" s="38">
        <f t="shared" si="5"/>
        <v>0</v>
      </c>
      <c r="K43" s="42"/>
    </row>
    <row r="44" s="29" customFormat="1" ht="13.5" hidden="1" spans="1:11">
      <c r="A44" s="36" t="s">
        <v>876</v>
      </c>
      <c r="B44" s="40"/>
      <c r="C44" s="40"/>
      <c r="D44" s="38">
        <f t="shared" si="1"/>
        <v>0</v>
      </c>
      <c r="E44" s="40"/>
      <c r="F44" s="39">
        <f t="shared" si="2"/>
        <v>0</v>
      </c>
      <c r="G44" s="38">
        <f t="shared" si="3"/>
        <v>0</v>
      </c>
      <c r="H44" s="40"/>
      <c r="I44" s="39">
        <f t="shared" si="4"/>
        <v>0</v>
      </c>
      <c r="J44" s="38">
        <f t="shared" si="5"/>
        <v>0</v>
      </c>
      <c r="K44" s="42"/>
    </row>
    <row r="45" s="29" customFormat="1" ht="13.5" spans="1:11">
      <c r="A45" s="36" t="s">
        <v>888</v>
      </c>
      <c r="B45" s="40">
        <v>222</v>
      </c>
      <c r="C45" s="40">
        <v>45</v>
      </c>
      <c r="D45" s="38">
        <f t="shared" si="1"/>
        <v>20.2702702702703</v>
      </c>
      <c r="E45" s="40">
        <v>0</v>
      </c>
      <c r="F45" s="39">
        <f t="shared" si="2"/>
        <v>45</v>
      </c>
      <c r="G45" s="38">
        <f t="shared" si="3"/>
        <v>0</v>
      </c>
      <c r="H45" s="40"/>
      <c r="I45" s="39">
        <f t="shared" si="4"/>
        <v>-45</v>
      </c>
      <c r="J45" s="38">
        <f t="shared" si="5"/>
        <v>-20.2702702702703</v>
      </c>
      <c r="K45" s="42"/>
    </row>
    <row r="46" s="29" customFormat="1" ht="13.5" hidden="1" spans="1:11">
      <c r="A46" s="36" t="s">
        <v>889</v>
      </c>
      <c r="B46" s="40"/>
      <c r="C46" s="40"/>
      <c r="D46" s="38">
        <f t="shared" si="1"/>
        <v>0</v>
      </c>
      <c r="E46" s="40"/>
      <c r="F46" s="39">
        <f t="shared" si="2"/>
        <v>0</v>
      </c>
      <c r="G46" s="38">
        <f t="shared" si="3"/>
        <v>0</v>
      </c>
      <c r="H46" s="40"/>
      <c r="I46" s="39">
        <f t="shared" si="4"/>
        <v>0</v>
      </c>
      <c r="J46" s="38">
        <f t="shared" si="5"/>
        <v>0</v>
      </c>
      <c r="K46" s="42"/>
    </row>
    <row r="47" s="29" customFormat="1" ht="13.5" hidden="1" spans="1:11">
      <c r="A47" s="36" t="s">
        <v>890</v>
      </c>
      <c r="B47" s="40">
        <f>SUM(B48:B52)</f>
        <v>0</v>
      </c>
      <c r="C47" s="40">
        <f t="shared" ref="C47:H47" si="15">SUM(C48:C52)</f>
        <v>0</v>
      </c>
      <c r="D47" s="38">
        <f t="shared" si="1"/>
        <v>0</v>
      </c>
      <c r="E47" s="40">
        <f t="shared" si="15"/>
        <v>0</v>
      </c>
      <c r="F47" s="39">
        <f t="shared" si="2"/>
        <v>0</v>
      </c>
      <c r="G47" s="38">
        <f t="shared" si="3"/>
        <v>0</v>
      </c>
      <c r="H47" s="40">
        <f t="shared" si="15"/>
        <v>0</v>
      </c>
      <c r="I47" s="39">
        <f t="shared" si="4"/>
        <v>0</v>
      </c>
      <c r="J47" s="38">
        <f t="shared" si="5"/>
        <v>0</v>
      </c>
      <c r="K47" s="42"/>
    </row>
    <row r="48" s="29" customFormat="1" ht="13.5" hidden="1" spans="1:11">
      <c r="A48" s="36" t="s">
        <v>891</v>
      </c>
      <c r="B48" s="40"/>
      <c r="C48" s="40"/>
      <c r="D48" s="38">
        <f t="shared" si="1"/>
        <v>0</v>
      </c>
      <c r="E48" s="40"/>
      <c r="F48" s="39">
        <f t="shared" si="2"/>
        <v>0</v>
      </c>
      <c r="G48" s="38">
        <f t="shared" si="3"/>
        <v>0</v>
      </c>
      <c r="H48" s="40"/>
      <c r="I48" s="39">
        <f t="shared" si="4"/>
        <v>0</v>
      </c>
      <c r="J48" s="38">
        <f t="shared" si="5"/>
        <v>0</v>
      </c>
      <c r="K48" s="42"/>
    </row>
    <row r="49" s="29" customFormat="1" ht="13.5" hidden="1" spans="1:11">
      <c r="A49" s="36" t="s">
        <v>892</v>
      </c>
      <c r="B49" s="40"/>
      <c r="C49" s="40"/>
      <c r="D49" s="38">
        <f t="shared" si="1"/>
        <v>0</v>
      </c>
      <c r="E49" s="40"/>
      <c r="F49" s="39">
        <f t="shared" si="2"/>
        <v>0</v>
      </c>
      <c r="G49" s="38">
        <f t="shared" si="3"/>
        <v>0</v>
      </c>
      <c r="H49" s="40"/>
      <c r="I49" s="39">
        <f t="shared" si="4"/>
        <v>0</v>
      </c>
      <c r="J49" s="38">
        <f t="shared" si="5"/>
        <v>0</v>
      </c>
      <c r="K49" s="42"/>
    </row>
    <row r="50" s="29" customFormat="1" ht="13.5" hidden="1" spans="1:11">
      <c r="A50" s="36" t="s">
        <v>893</v>
      </c>
      <c r="B50" s="40"/>
      <c r="C50" s="40"/>
      <c r="D50" s="38">
        <f t="shared" si="1"/>
        <v>0</v>
      </c>
      <c r="E50" s="40"/>
      <c r="F50" s="39">
        <f t="shared" si="2"/>
        <v>0</v>
      </c>
      <c r="G50" s="38">
        <f t="shared" si="3"/>
        <v>0</v>
      </c>
      <c r="H50" s="40"/>
      <c r="I50" s="39">
        <f t="shared" si="4"/>
        <v>0</v>
      </c>
      <c r="J50" s="38">
        <f t="shared" si="5"/>
        <v>0</v>
      </c>
      <c r="K50" s="42"/>
    </row>
    <row r="51" s="29" customFormat="1" ht="13.5" hidden="1" spans="1:11">
      <c r="A51" s="36" t="s">
        <v>894</v>
      </c>
      <c r="B51" s="40"/>
      <c r="C51" s="40"/>
      <c r="D51" s="38">
        <f t="shared" si="1"/>
        <v>0</v>
      </c>
      <c r="E51" s="40"/>
      <c r="F51" s="39">
        <f t="shared" si="2"/>
        <v>0</v>
      </c>
      <c r="G51" s="38">
        <f t="shared" si="3"/>
        <v>0</v>
      </c>
      <c r="H51" s="40"/>
      <c r="I51" s="39">
        <f t="shared" si="4"/>
        <v>0</v>
      </c>
      <c r="J51" s="38">
        <f t="shared" si="5"/>
        <v>0</v>
      </c>
      <c r="K51" s="42"/>
    </row>
    <row r="52" s="29" customFormat="1" ht="13.5" hidden="1" spans="1:11">
      <c r="A52" s="36" t="s">
        <v>895</v>
      </c>
      <c r="B52" s="40"/>
      <c r="C52" s="40"/>
      <c r="D52" s="38">
        <f t="shared" si="1"/>
        <v>0</v>
      </c>
      <c r="E52" s="40"/>
      <c r="F52" s="39">
        <f t="shared" si="2"/>
        <v>0</v>
      </c>
      <c r="G52" s="38">
        <f t="shared" si="3"/>
        <v>0</v>
      </c>
      <c r="H52" s="40"/>
      <c r="I52" s="39">
        <f t="shared" si="4"/>
        <v>0</v>
      </c>
      <c r="J52" s="38">
        <f t="shared" si="5"/>
        <v>0</v>
      </c>
      <c r="K52" s="42"/>
    </row>
    <row r="53" s="29" customFormat="1" ht="13.5" hidden="1" spans="1:11">
      <c r="A53" s="36" t="s">
        <v>896</v>
      </c>
      <c r="B53" s="40">
        <f>SUM(B54:B56)</f>
        <v>0</v>
      </c>
      <c r="C53" s="40">
        <f t="shared" ref="C53:H53" si="16">SUM(C54:C56)</f>
        <v>0</v>
      </c>
      <c r="D53" s="38">
        <f t="shared" si="1"/>
        <v>0</v>
      </c>
      <c r="E53" s="40">
        <f t="shared" si="16"/>
        <v>0</v>
      </c>
      <c r="F53" s="39">
        <f t="shared" si="2"/>
        <v>0</v>
      </c>
      <c r="G53" s="38">
        <f t="shared" si="3"/>
        <v>0</v>
      </c>
      <c r="H53" s="40">
        <f t="shared" si="16"/>
        <v>0</v>
      </c>
      <c r="I53" s="39">
        <f t="shared" si="4"/>
        <v>0</v>
      </c>
      <c r="J53" s="38">
        <f t="shared" si="5"/>
        <v>0</v>
      </c>
      <c r="K53" s="45"/>
    </row>
    <row r="54" s="29" customFormat="1" ht="13.5" hidden="1" spans="1:11">
      <c r="A54" s="36" t="s">
        <v>897</v>
      </c>
      <c r="B54" s="40"/>
      <c r="C54" s="40"/>
      <c r="D54" s="38">
        <f t="shared" si="1"/>
        <v>0</v>
      </c>
      <c r="E54" s="40"/>
      <c r="F54" s="39">
        <f t="shared" si="2"/>
        <v>0</v>
      </c>
      <c r="G54" s="38">
        <f t="shared" si="3"/>
        <v>0</v>
      </c>
      <c r="H54" s="40"/>
      <c r="I54" s="39">
        <f t="shared" si="4"/>
        <v>0</v>
      </c>
      <c r="J54" s="38">
        <f t="shared" si="5"/>
        <v>0</v>
      </c>
      <c r="K54" s="45"/>
    </row>
    <row r="55" s="29" customFormat="1" ht="13.5" hidden="1" spans="1:11">
      <c r="A55" s="36" t="s">
        <v>898</v>
      </c>
      <c r="B55" s="40"/>
      <c r="C55" s="40"/>
      <c r="D55" s="38">
        <f t="shared" si="1"/>
        <v>0</v>
      </c>
      <c r="E55" s="40"/>
      <c r="F55" s="39">
        <f t="shared" si="2"/>
        <v>0</v>
      </c>
      <c r="G55" s="38">
        <f t="shared" si="3"/>
        <v>0</v>
      </c>
      <c r="H55" s="40"/>
      <c r="I55" s="39">
        <f t="shared" si="4"/>
        <v>0</v>
      </c>
      <c r="J55" s="38">
        <f t="shared" si="5"/>
        <v>0</v>
      </c>
      <c r="K55" s="45"/>
    </row>
    <row r="56" s="30" customFormat="1" ht="13.5" hidden="1" spans="1:11">
      <c r="A56" s="36" t="s">
        <v>899</v>
      </c>
      <c r="B56" s="40"/>
      <c r="C56" s="40"/>
      <c r="D56" s="38">
        <f t="shared" si="1"/>
        <v>0</v>
      </c>
      <c r="E56" s="40"/>
      <c r="F56" s="39">
        <f t="shared" si="2"/>
        <v>0</v>
      </c>
      <c r="G56" s="38">
        <f t="shared" si="3"/>
        <v>0</v>
      </c>
      <c r="H56" s="40"/>
      <c r="I56" s="39">
        <f t="shared" si="4"/>
        <v>0</v>
      </c>
      <c r="J56" s="38">
        <f t="shared" si="5"/>
        <v>0</v>
      </c>
      <c r="K56" s="42"/>
    </row>
    <row r="57" s="29" customFormat="1" ht="13.5" hidden="1" spans="1:11">
      <c r="A57" s="36" t="s">
        <v>900</v>
      </c>
      <c r="B57" s="40"/>
      <c r="C57" s="40"/>
      <c r="D57" s="38">
        <f t="shared" si="1"/>
        <v>0</v>
      </c>
      <c r="E57" s="40"/>
      <c r="F57" s="39">
        <f t="shared" si="2"/>
        <v>0</v>
      </c>
      <c r="G57" s="38">
        <f t="shared" si="3"/>
        <v>0</v>
      </c>
      <c r="H57" s="40"/>
      <c r="I57" s="39">
        <f t="shared" si="4"/>
        <v>0</v>
      </c>
      <c r="J57" s="38">
        <f t="shared" si="5"/>
        <v>0</v>
      </c>
      <c r="K57" s="42"/>
    </row>
    <row r="58" s="29" customFormat="1" ht="13.5" hidden="1" spans="1:11">
      <c r="A58" s="36" t="s">
        <v>901</v>
      </c>
      <c r="B58" s="40"/>
      <c r="C58" s="40"/>
      <c r="D58" s="38">
        <f t="shared" si="1"/>
        <v>0</v>
      </c>
      <c r="E58" s="40"/>
      <c r="F58" s="39">
        <f t="shared" si="2"/>
        <v>0</v>
      </c>
      <c r="G58" s="38">
        <f t="shared" si="3"/>
        <v>0</v>
      </c>
      <c r="H58" s="40"/>
      <c r="I58" s="39">
        <f t="shared" si="4"/>
        <v>0</v>
      </c>
      <c r="J58" s="38">
        <f t="shared" si="5"/>
        <v>0</v>
      </c>
      <c r="K58" s="42"/>
    </row>
    <row r="59" s="29" customFormat="1" ht="27" hidden="1" spans="1:11">
      <c r="A59" s="36" t="s">
        <v>902</v>
      </c>
      <c r="B59" s="40"/>
      <c r="C59" s="40"/>
      <c r="D59" s="38">
        <f t="shared" si="1"/>
        <v>0</v>
      </c>
      <c r="E59" s="40"/>
      <c r="F59" s="39">
        <f t="shared" si="2"/>
        <v>0</v>
      </c>
      <c r="G59" s="38">
        <f t="shared" si="3"/>
        <v>0</v>
      </c>
      <c r="H59" s="40"/>
      <c r="I59" s="39">
        <f t="shared" si="4"/>
        <v>0</v>
      </c>
      <c r="J59" s="38">
        <f t="shared" si="5"/>
        <v>0</v>
      </c>
      <c r="K59" s="42"/>
    </row>
    <row r="60" s="30" customFormat="1" ht="27" hidden="1" spans="1:11">
      <c r="A60" s="36" t="s">
        <v>903</v>
      </c>
      <c r="B60" s="40"/>
      <c r="C60" s="40"/>
      <c r="D60" s="38">
        <f t="shared" si="1"/>
        <v>0</v>
      </c>
      <c r="E60" s="40"/>
      <c r="F60" s="39">
        <f t="shared" si="2"/>
        <v>0</v>
      </c>
      <c r="G60" s="38">
        <f t="shared" si="3"/>
        <v>0</v>
      </c>
      <c r="H60" s="40"/>
      <c r="I60" s="39">
        <f t="shared" si="4"/>
        <v>0</v>
      </c>
      <c r="J60" s="38">
        <f t="shared" si="5"/>
        <v>0</v>
      </c>
      <c r="K60" s="42"/>
    </row>
    <row r="61" s="29" customFormat="1" ht="13.5" spans="1:11">
      <c r="A61" s="36" t="s">
        <v>904</v>
      </c>
      <c r="B61" s="37">
        <f>SUM(B62,B63,B64,B67,B68)</f>
        <v>0</v>
      </c>
      <c r="C61" s="37">
        <f t="shared" ref="C61:H61" si="17">SUM(C62,C63,C64,C67,C68)</f>
        <v>0</v>
      </c>
      <c r="D61" s="38">
        <f t="shared" si="1"/>
        <v>0</v>
      </c>
      <c r="E61" s="37">
        <f t="shared" si="17"/>
        <v>0</v>
      </c>
      <c r="F61" s="39">
        <f t="shared" si="2"/>
        <v>0</v>
      </c>
      <c r="G61" s="38">
        <f t="shared" si="3"/>
        <v>0</v>
      </c>
      <c r="H61" s="37">
        <f t="shared" si="17"/>
        <v>0</v>
      </c>
      <c r="I61" s="39">
        <f t="shared" si="4"/>
        <v>0</v>
      </c>
      <c r="J61" s="38">
        <f t="shared" si="5"/>
        <v>0</v>
      </c>
      <c r="K61" s="42"/>
    </row>
    <row r="62" s="29" customFormat="1" ht="13.5" hidden="1" spans="1:11">
      <c r="A62" s="36" t="s">
        <v>905</v>
      </c>
      <c r="B62" s="40"/>
      <c r="C62" s="40"/>
      <c r="D62" s="38">
        <f t="shared" si="1"/>
        <v>0</v>
      </c>
      <c r="E62" s="40"/>
      <c r="F62" s="39">
        <f t="shared" si="2"/>
        <v>0</v>
      </c>
      <c r="G62" s="38">
        <f t="shared" si="3"/>
        <v>0</v>
      </c>
      <c r="H62" s="40"/>
      <c r="I62" s="39">
        <f t="shared" si="4"/>
        <v>0</v>
      </c>
      <c r="J62" s="38">
        <f t="shared" si="5"/>
        <v>0</v>
      </c>
      <c r="K62" s="42"/>
    </row>
    <row r="63" s="29" customFormat="1" ht="13.5" hidden="1" spans="1:11">
      <c r="A63" s="36" t="s">
        <v>906</v>
      </c>
      <c r="B63" s="37"/>
      <c r="C63" s="37"/>
      <c r="D63" s="38">
        <f t="shared" si="1"/>
        <v>0</v>
      </c>
      <c r="E63" s="37"/>
      <c r="F63" s="39">
        <f t="shared" si="2"/>
        <v>0</v>
      </c>
      <c r="G63" s="38">
        <f t="shared" si="3"/>
        <v>0</v>
      </c>
      <c r="H63" s="37"/>
      <c r="I63" s="39">
        <f t="shared" si="4"/>
        <v>0</v>
      </c>
      <c r="J63" s="38">
        <f t="shared" si="5"/>
        <v>0</v>
      </c>
      <c r="K63" s="42"/>
    </row>
    <row r="64" s="29" customFormat="1" ht="13.5" hidden="1" spans="1:11">
      <c r="A64" s="36" t="s">
        <v>907</v>
      </c>
      <c r="B64" s="40">
        <f>SUM(B65:B66)</f>
        <v>0</v>
      </c>
      <c r="C64" s="40">
        <f t="shared" ref="C64:H64" si="18">SUM(C65:C66)</f>
        <v>0</v>
      </c>
      <c r="D64" s="38">
        <f t="shared" si="1"/>
        <v>0</v>
      </c>
      <c r="E64" s="40">
        <f t="shared" si="18"/>
        <v>0</v>
      </c>
      <c r="F64" s="39">
        <f t="shared" si="2"/>
        <v>0</v>
      </c>
      <c r="G64" s="38">
        <f t="shared" si="3"/>
        <v>0</v>
      </c>
      <c r="H64" s="40">
        <f t="shared" si="18"/>
        <v>0</v>
      </c>
      <c r="I64" s="39">
        <f t="shared" si="4"/>
        <v>0</v>
      </c>
      <c r="J64" s="38">
        <f t="shared" si="5"/>
        <v>0</v>
      </c>
      <c r="K64" s="42"/>
    </row>
    <row r="65" s="29" customFormat="1" ht="13.5" hidden="1" spans="1:11">
      <c r="A65" s="36" t="s">
        <v>908</v>
      </c>
      <c r="B65" s="40"/>
      <c r="C65" s="40"/>
      <c r="D65" s="38">
        <f t="shared" si="1"/>
        <v>0</v>
      </c>
      <c r="E65" s="40"/>
      <c r="F65" s="39">
        <f t="shared" si="2"/>
        <v>0</v>
      </c>
      <c r="G65" s="38">
        <f t="shared" si="3"/>
        <v>0</v>
      </c>
      <c r="H65" s="40"/>
      <c r="I65" s="39">
        <f t="shared" si="4"/>
        <v>0</v>
      </c>
      <c r="J65" s="38">
        <f t="shared" si="5"/>
        <v>0</v>
      </c>
      <c r="K65" s="42"/>
    </row>
    <row r="66" s="30" customFormat="1" ht="13.5" hidden="1" spans="1:11">
      <c r="A66" s="36" t="s">
        <v>909</v>
      </c>
      <c r="B66" s="40"/>
      <c r="C66" s="40"/>
      <c r="D66" s="38">
        <f t="shared" si="1"/>
        <v>0</v>
      </c>
      <c r="E66" s="40"/>
      <c r="F66" s="39">
        <f t="shared" si="2"/>
        <v>0</v>
      </c>
      <c r="G66" s="38">
        <f t="shared" si="3"/>
        <v>0</v>
      </c>
      <c r="H66" s="40"/>
      <c r="I66" s="39">
        <f t="shared" si="4"/>
        <v>0</v>
      </c>
      <c r="J66" s="38">
        <f t="shared" si="5"/>
        <v>0</v>
      </c>
      <c r="K66" s="42"/>
    </row>
    <row r="67" s="29" customFormat="1" ht="27" hidden="1" spans="1:11">
      <c r="A67" s="36" t="s">
        <v>910</v>
      </c>
      <c r="B67" s="40"/>
      <c r="C67" s="40"/>
      <c r="D67" s="38">
        <f t="shared" si="1"/>
        <v>0</v>
      </c>
      <c r="E67" s="40"/>
      <c r="F67" s="39">
        <f t="shared" si="2"/>
        <v>0</v>
      </c>
      <c r="G67" s="38">
        <f t="shared" si="3"/>
        <v>0</v>
      </c>
      <c r="H67" s="40"/>
      <c r="I67" s="39">
        <f t="shared" si="4"/>
        <v>0</v>
      </c>
      <c r="J67" s="38">
        <f t="shared" si="5"/>
        <v>0</v>
      </c>
      <c r="K67" s="42"/>
    </row>
    <row r="68" s="29" customFormat="1" ht="27" hidden="1" spans="1:11">
      <c r="A68" s="36" t="s">
        <v>911</v>
      </c>
      <c r="B68" s="40"/>
      <c r="C68" s="40"/>
      <c r="D68" s="38">
        <f t="shared" si="1"/>
        <v>0</v>
      </c>
      <c r="E68" s="40"/>
      <c r="F68" s="39">
        <f t="shared" si="2"/>
        <v>0</v>
      </c>
      <c r="G68" s="38">
        <f t="shared" si="3"/>
        <v>0</v>
      </c>
      <c r="H68" s="40"/>
      <c r="I68" s="39">
        <f t="shared" si="4"/>
        <v>0</v>
      </c>
      <c r="J68" s="38">
        <f t="shared" si="5"/>
        <v>0</v>
      </c>
      <c r="K68" s="42"/>
    </row>
    <row r="69" s="29" customFormat="1" ht="13.5" spans="1:11">
      <c r="A69" s="36" t="s">
        <v>912</v>
      </c>
      <c r="B69" s="37">
        <f>SUM(B70:B79)</f>
        <v>0</v>
      </c>
      <c r="C69" s="37">
        <f t="shared" ref="C69:H69" si="19">SUM(C70:C79)</f>
        <v>0</v>
      </c>
      <c r="D69" s="38">
        <f t="shared" si="1"/>
        <v>0</v>
      </c>
      <c r="E69" s="37">
        <f t="shared" si="19"/>
        <v>0</v>
      </c>
      <c r="F69" s="39">
        <f t="shared" si="2"/>
        <v>0</v>
      </c>
      <c r="G69" s="38">
        <f t="shared" si="3"/>
        <v>0</v>
      </c>
      <c r="H69" s="37">
        <f t="shared" si="19"/>
        <v>0</v>
      </c>
      <c r="I69" s="39">
        <f t="shared" si="4"/>
        <v>0</v>
      </c>
      <c r="J69" s="38">
        <f t="shared" si="5"/>
        <v>0</v>
      </c>
      <c r="K69" s="42"/>
    </row>
    <row r="70" s="29" customFormat="1" ht="27" hidden="1" spans="1:11">
      <c r="A70" s="36" t="s">
        <v>913</v>
      </c>
      <c r="B70" s="40"/>
      <c r="C70" s="40"/>
      <c r="D70" s="38">
        <f t="shared" si="1"/>
        <v>0</v>
      </c>
      <c r="E70" s="40"/>
      <c r="F70" s="39">
        <f t="shared" si="2"/>
        <v>0</v>
      </c>
      <c r="G70" s="38">
        <f t="shared" si="3"/>
        <v>0</v>
      </c>
      <c r="H70" s="40"/>
      <c r="I70" s="39">
        <f t="shared" si="4"/>
        <v>0</v>
      </c>
      <c r="J70" s="38">
        <f t="shared" si="5"/>
        <v>0</v>
      </c>
      <c r="K70" s="42"/>
    </row>
    <row r="71" s="29" customFormat="1" ht="13.5" hidden="1" spans="1:11">
      <c r="A71" s="36" t="s">
        <v>914</v>
      </c>
      <c r="B71" s="40"/>
      <c r="C71" s="40"/>
      <c r="D71" s="38">
        <f t="shared" ref="D71:D126" si="20">IF(B71=0,,C71/B71*100)</f>
        <v>0</v>
      </c>
      <c r="E71" s="40"/>
      <c r="F71" s="39">
        <f t="shared" ref="F71:F126" si="21">C71-E71</f>
        <v>0</v>
      </c>
      <c r="G71" s="38">
        <f t="shared" ref="G71:G126" si="22">IF(E71=0,,F71/E71*100)</f>
        <v>0</v>
      </c>
      <c r="H71" s="40"/>
      <c r="I71" s="39">
        <f t="shared" ref="I71:I126" si="23">H71-C71</f>
        <v>0</v>
      </c>
      <c r="J71" s="38">
        <f t="shared" ref="J71:J126" si="24">IF(B71=0,,I71/B71*100)</f>
        <v>0</v>
      </c>
      <c r="K71" s="42"/>
    </row>
    <row r="72" s="29" customFormat="1" ht="13.5" hidden="1" spans="1:11">
      <c r="A72" s="36" t="s">
        <v>915</v>
      </c>
      <c r="B72" s="40"/>
      <c r="C72" s="40"/>
      <c r="D72" s="38">
        <f t="shared" si="20"/>
        <v>0</v>
      </c>
      <c r="E72" s="40"/>
      <c r="F72" s="39">
        <f t="shared" si="21"/>
        <v>0</v>
      </c>
      <c r="G72" s="38">
        <f t="shared" si="22"/>
        <v>0</v>
      </c>
      <c r="H72" s="40"/>
      <c r="I72" s="39">
        <f t="shared" si="23"/>
        <v>0</v>
      </c>
      <c r="J72" s="38">
        <f t="shared" si="24"/>
        <v>0</v>
      </c>
      <c r="K72" s="42"/>
    </row>
    <row r="73" s="29" customFormat="1" ht="13.5" hidden="1" spans="1:11">
      <c r="A73" s="36" t="s">
        <v>916</v>
      </c>
      <c r="B73" s="40"/>
      <c r="C73" s="40"/>
      <c r="D73" s="38">
        <f t="shared" si="20"/>
        <v>0</v>
      </c>
      <c r="E73" s="40"/>
      <c r="F73" s="39">
        <f t="shared" si="21"/>
        <v>0</v>
      </c>
      <c r="G73" s="38">
        <f t="shared" si="22"/>
        <v>0</v>
      </c>
      <c r="H73" s="40"/>
      <c r="I73" s="39">
        <f t="shared" si="23"/>
        <v>0</v>
      </c>
      <c r="J73" s="38">
        <f t="shared" si="24"/>
        <v>0</v>
      </c>
      <c r="K73" s="42"/>
    </row>
    <row r="74" s="29" customFormat="1" ht="13.5" hidden="1" spans="1:11">
      <c r="A74" s="36" t="s">
        <v>917</v>
      </c>
      <c r="B74" s="40"/>
      <c r="C74" s="40"/>
      <c r="D74" s="38">
        <f t="shared" si="20"/>
        <v>0</v>
      </c>
      <c r="E74" s="40"/>
      <c r="F74" s="39">
        <f t="shared" si="21"/>
        <v>0</v>
      </c>
      <c r="G74" s="38">
        <f t="shared" si="22"/>
        <v>0</v>
      </c>
      <c r="H74" s="40"/>
      <c r="I74" s="39">
        <f t="shared" si="23"/>
        <v>0</v>
      </c>
      <c r="J74" s="38">
        <f t="shared" si="24"/>
        <v>0</v>
      </c>
      <c r="K74" s="42"/>
    </row>
    <row r="75" s="29" customFormat="1" ht="13.5" hidden="1" spans="1:11">
      <c r="A75" s="36" t="s">
        <v>918</v>
      </c>
      <c r="B75" s="40"/>
      <c r="C75" s="40"/>
      <c r="D75" s="38">
        <f t="shared" si="20"/>
        <v>0</v>
      </c>
      <c r="E75" s="40"/>
      <c r="F75" s="39">
        <f t="shared" si="21"/>
        <v>0</v>
      </c>
      <c r="G75" s="38">
        <f t="shared" si="22"/>
        <v>0</v>
      </c>
      <c r="H75" s="40"/>
      <c r="I75" s="39">
        <f t="shared" si="23"/>
        <v>0</v>
      </c>
      <c r="J75" s="38">
        <f t="shared" si="24"/>
        <v>0</v>
      </c>
      <c r="K75" s="42"/>
    </row>
    <row r="76" s="29" customFormat="1" ht="27" hidden="1" spans="1:11">
      <c r="A76" s="36" t="s">
        <v>919</v>
      </c>
      <c r="B76" s="40"/>
      <c r="C76" s="40"/>
      <c r="D76" s="38">
        <f t="shared" si="20"/>
        <v>0</v>
      </c>
      <c r="E76" s="40"/>
      <c r="F76" s="39">
        <f t="shared" si="21"/>
        <v>0</v>
      </c>
      <c r="G76" s="38">
        <f t="shared" si="22"/>
        <v>0</v>
      </c>
      <c r="H76" s="40"/>
      <c r="I76" s="39">
        <f t="shared" si="23"/>
        <v>0</v>
      </c>
      <c r="J76" s="38">
        <f t="shared" si="24"/>
        <v>0</v>
      </c>
      <c r="K76" s="42"/>
    </row>
    <row r="77" s="30" customFormat="1" ht="13.5" hidden="1" spans="1:11">
      <c r="A77" s="36" t="s">
        <v>920</v>
      </c>
      <c r="B77" s="40"/>
      <c r="C77" s="40"/>
      <c r="D77" s="38">
        <f t="shared" si="20"/>
        <v>0</v>
      </c>
      <c r="E77" s="40"/>
      <c r="F77" s="39">
        <f t="shared" si="21"/>
        <v>0</v>
      </c>
      <c r="G77" s="38">
        <f t="shared" si="22"/>
        <v>0</v>
      </c>
      <c r="H77" s="40"/>
      <c r="I77" s="39">
        <f t="shared" si="23"/>
        <v>0</v>
      </c>
      <c r="J77" s="38">
        <f t="shared" si="24"/>
        <v>0</v>
      </c>
      <c r="K77" s="42"/>
    </row>
    <row r="78" s="29" customFormat="1" ht="13.5" hidden="1" spans="1:11">
      <c r="A78" s="36" t="s">
        <v>921</v>
      </c>
      <c r="B78" s="40"/>
      <c r="C78" s="40"/>
      <c r="D78" s="38">
        <f t="shared" si="20"/>
        <v>0</v>
      </c>
      <c r="E78" s="40"/>
      <c r="F78" s="39">
        <f t="shared" si="21"/>
        <v>0</v>
      </c>
      <c r="G78" s="38">
        <f t="shared" si="22"/>
        <v>0</v>
      </c>
      <c r="H78" s="40"/>
      <c r="I78" s="39">
        <f t="shared" si="23"/>
        <v>0</v>
      </c>
      <c r="J78" s="38">
        <f t="shared" si="24"/>
        <v>0</v>
      </c>
      <c r="K78" s="42"/>
    </row>
    <row r="79" s="30" customFormat="1" ht="13.5" hidden="1" spans="1:11">
      <c r="A79" s="36" t="s">
        <v>922</v>
      </c>
      <c r="B79" s="40"/>
      <c r="C79" s="40"/>
      <c r="D79" s="38">
        <f t="shared" si="20"/>
        <v>0</v>
      </c>
      <c r="E79" s="40"/>
      <c r="F79" s="39">
        <f t="shared" si="21"/>
        <v>0</v>
      </c>
      <c r="G79" s="38">
        <f t="shared" si="22"/>
        <v>0</v>
      </c>
      <c r="H79" s="40"/>
      <c r="I79" s="39">
        <f t="shared" si="23"/>
        <v>0</v>
      </c>
      <c r="J79" s="38">
        <f t="shared" si="24"/>
        <v>0</v>
      </c>
      <c r="K79" s="42"/>
    </row>
    <row r="80" s="30" customFormat="1" ht="13.5" spans="1:11">
      <c r="A80" s="36" t="s">
        <v>923</v>
      </c>
      <c r="B80" s="37">
        <f>SUM(B81)</f>
        <v>0</v>
      </c>
      <c r="C80" s="37">
        <f t="shared" ref="C80:H80" si="25">SUM(C81)</f>
        <v>0</v>
      </c>
      <c r="D80" s="38">
        <f t="shared" si="20"/>
        <v>0</v>
      </c>
      <c r="E80" s="37">
        <f t="shared" si="25"/>
        <v>0</v>
      </c>
      <c r="F80" s="39">
        <f t="shared" si="21"/>
        <v>0</v>
      </c>
      <c r="G80" s="38">
        <f t="shared" si="22"/>
        <v>0</v>
      </c>
      <c r="H80" s="37">
        <f t="shared" si="25"/>
        <v>0</v>
      </c>
      <c r="I80" s="39">
        <f t="shared" si="23"/>
        <v>0</v>
      </c>
      <c r="J80" s="38">
        <f t="shared" si="24"/>
        <v>0</v>
      </c>
      <c r="K80" s="42"/>
    </row>
    <row r="81" s="30" customFormat="1" ht="13.5" hidden="1" spans="1:11">
      <c r="A81" s="36" t="s">
        <v>924</v>
      </c>
      <c r="B81" s="40"/>
      <c r="C81" s="40"/>
      <c r="D81" s="38">
        <f t="shared" si="20"/>
        <v>0</v>
      </c>
      <c r="E81" s="40"/>
      <c r="F81" s="39">
        <f t="shared" si="21"/>
        <v>0</v>
      </c>
      <c r="G81" s="38">
        <f t="shared" si="22"/>
        <v>0</v>
      </c>
      <c r="H81" s="40"/>
      <c r="I81" s="39">
        <f t="shared" si="23"/>
        <v>0</v>
      </c>
      <c r="J81" s="38">
        <f t="shared" si="24"/>
        <v>0</v>
      </c>
      <c r="K81" s="42"/>
    </row>
    <row r="82" s="29" customFormat="1" ht="13.5" spans="1:11">
      <c r="A82" s="36" t="s">
        <v>925</v>
      </c>
      <c r="B82" s="37">
        <f>SUM(B83)</f>
        <v>0</v>
      </c>
      <c r="C82" s="37">
        <f t="shared" ref="C82:H82" si="26">SUM(C83)</f>
        <v>0</v>
      </c>
      <c r="D82" s="38">
        <f t="shared" si="20"/>
        <v>0</v>
      </c>
      <c r="E82" s="37">
        <f t="shared" si="26"/>
        <v>0</v>
      </c>
      <c r="F82" s="39">
        <f t="shared" si="21"/>
        <v>0</v>
      </c>
      <c r="G82" s="38">
        <f t="shared" si="22"/>
        <v>0</v>
      </c>
      <c r="H82" s="37">
        <f t="shared" si="26"/>
        <v>0</v>
      </c>
      <c r="I82" s="39">
        <f t="shared" si="23"/>
        <v>0</v>
      </c>
      <c r="J82" s="38">
        <f t="shared" si="24"/>
        <v>0</v>
      </c>
      <c r="K82" s="42"/>
    </row>
    <row r="83" s="29" customFormat="1" ht="13.5" spans="1:11">
      <c r="A83" s="36" t="s">
        <v>926</v>
      </c>
      <c r="B83" s="37"/>
      <c r="C83" s="37"/>
      <c r="D83" s="38">
        <f t="shared" si="20"/>
        <v>0</v>
      </c>
      <c r="E83" s="37"/>
      <c r="F83" s="39">
        <f t="shared" si="21"/>
        <v>0</v>
      </c>
      <c r="G83" s="38">
        <f t="shared" si="22"/>
        <v>0</v>
      </c>
      <c r="H83" s="37"/>
      <c r="I83" s="39">
        <f t="shared" si="23"/>
        <v>0</v>
      </c>
      <c r="J83" s="38">
        <f t="shared" si="24"/>
        <v>0</v>
      </c>
      <c r="K83" s="42"/>
    </row>
    <row r="84" s="29" customFormat="1" ht="13.5" spans="1:11">
      <c r="A84" s="36" t="s">
        <v>927</v>
      </c>
      <c r="B84" s="37">
        <f>SUM(B85,B88,B91)</f>
        <v>370</v>
      </c>
      <c r="C84" s="37">
        <f t="shared" ref="C84:H84" si="27">SUM(C85,C88,C91)</f>
        <v>20069</v>
      </c>
      <c r="D84" s="38">
        <f t="shared" si="20"/>
        <v>5424.05405405405</v>
      </c>
      <c r="E84" s="37">
        <f t="shared" si="27"/>
        <v>47073</v>
      </c>
      <c r="F84" s="39">
        <f t="shared" si="21"/>
        <v>-27004</v>
      </c>
      <c r="G84" s="38">
        <f t="shared" si="22"/>
        <v>-57.366218426699</v>
      </c>
      <c r="H84" s="37">
        <f t="shared" si="27"/>
        <v>793</v>
      </c>
      <c r="I84" s="39">
        <f t="shared" si="23"/>
        <v>-19276</v>
      </c>
      <c r="J84" s="38">
        <f t="shared" si="24"/>
        <v>-5209.72972972973</v>
      </c>
      <c r="K84" s="42"/>
    </row>
    <row r="85" s="29" customFormat="1" ht="27" spans="1:11">
      <c r="A85" s="36" t="s">
        <v>928</v>
      </c>
      <c r="B85" s="40">
        <f>SUM(B86:B87)</f>
        <v>20</v>
      </c>
      <c r="C85" s="40">
        <f t="shared" ref="C85:H85" si="28">SUM(C86:C87)</f>
        <v>20000</v>
      </c>
      <c r="D85" s="38">
        <f t="shared" si="20"/>
        <v>100000</v>
      </c>
      <c r="E85" s="40">
        <f t="shared" si="28"/>
        <v>47020</v>
      </c>
      <c r="F85" s="39">
        <f t="shared" si="21"/>
        <v>-27020</v>
      </c>
      <c r="G85" s="38">
        <f t="shared" si="22"/>
        <v>-57.4649085495534</v>
      </c>
      <c r="H85" s="40">
        <f t="shared" si="28"/>
        <v>67</v>
      </c>
      <c r="I85" s="39">
        <f t="shared" si="23"/>
        <v>-19933</v>
      </c>
      <c r="J85" s="38">
        <f t="shared" si="24"/>
        <v>-99665</v>
      </c>
      <c r="K85" s="42"/>
    </row>
    <row r="86" s="29" customFormat="1" ht="13.5" spans="1:11">
      <c r="A86" s="36" t="s">
        <v>929</v>
      </c>
      <c r="B86" s="40"/>
      <c r="C86" s="40"/>
      <c r="D86" s="38">
        <f t="shared" si="20"/>
        <v>0</v>
      </c>
      <c r="E86" s="40">
        <v>20</v>
      </c>
      <c r="F86" s="39">
        <f t="shared" si="21"/>
        <v>-20</v>
      </c>
      <c r="G86" s="38">
        <f t="shared" si="22"/>
        <v>-100</v>
      </c>
      <c r="H86" s="40">
        <v>67</v>
      </c>
      <c r="I86" s="39">
        <f t="shared" si="23"/>
        <v>67</v>
      </c>
      <c r="J86" s="38">
        <f t="shared" si="24"/>
        <v>0</v>
      </c>
      <c r="K86" s="42"/>
    </row>
    <row r="87" s="29" customFormat="1" ht="27" spans="1:11">
      <c r="A87" s="36" t="s">
        <v>930</v>
      </c>
      <c r="B87" s="40">
        <v>20</v>
      </c>
      <c r="C87" s="40">
        <v>20000</v>
      </c>
      <c r="D87" s="38">
        <f t="shared" si="20"/>
        <v>100000</v>
      </c>
      <c r="E87" s="40">
        <v>47000</v>
      </c>
      <c r="F87" s="39">
        <f t="shared" si="21"/>
        <v>-27000</v>
      </c>
      <c r="G87" s="38">
        <f t="shared" si="22"/>
        <v>-57.4468085106383</v>
      </c>
      <c r="H87" s="40"/>
      <c r="I87" s="39">
        <f t="shared" si="23"/>
        <v>-20000</v>
      </c>
      <c r="J87" s="38">
        <f t="shared" si="24"/>
        <v>-100000</v>
      </c>
      <c r="K87" s="42"/>
    </row>
    <row r="88" s="29" customFormat="1" ht="13.5" hidden="1" spans="1:11">
      <c r="A88" s="36" t="s">
        <v>931</v>
      </c>
      <c r="B88" s="40">
        <f>SUM(B89:B90)</f>
        <v>0</v>
      </c>
      <c r="C88" s="40">
        <f t="shared" ref="C88:H88" si="29">SUM(C89:C90)</f>
        <v>0</v>
      </c>
      <c r="D88" s="38">
        <f t="shared" si="20"/>
        <v>0</v>
      </c>
      <c r="E88" s="40">
        <f t="shared" si="29"/>
        <v>0</v>
      </c>
      <c r="F88" s="39">
        <f t="shared" si="21"/>
        <v>0</v>
      </c>
      <c r="G88" s="38">
        <f t="shared" si="22"/>
        <v>0</v>
      </c>
      <c r="H88" s="40">
        <f t="shared" si="29"/>
        <v>0</v>
      </c>
      <c r="I88" s="39">
        <f t="shared" si="23"/>
        <v>0</v>
      </c>
      <c r="J88" s="38">
        <f t="shared" si="24"/>
        <v>0</v>
      </c>
      <c r="K88" s="42"/>
    </row>
    <row r="89" s="29" customFormat="1" ht="13.5" hidden="1" spans="1:11">
      <c r="A89" s="36" t="s">
        <v>932</v>
      </c>
      <c r="B89" s="40"/>
      <c r="C89" s="40"/>
      <c r="D89" s="38">
        <f t="shared" si="20"/>
        <v>0</v>
      </c>
      <c r="E89" s="40"/>
      <c r="F89" s="39">
        <f t="shared" si="21"/>
        <v>0</v>
      </c>
      <c r="G89" s="38">
        <f t="shared" si="22"/>
        <v>0</v>
      </c>
      <c r="H89" s="40"/>
      <c r="I89" s="39">
        <f t="shared" si="23"/>
        <v>0</v>
      </c>
      <c r="J89" s="38">
        <f t="shared" si="24"/>
        <v>0</v>
      </c>
      <c r="K89" s="42"/>
    </row>
    <row r="90" s="29" customFormat="1" ht="13.5" hidden="1" spans="1:11">
      <c r="A90" s="36" t="s">
        <v>933</v>
      </c>
      <c r="B90" s="40"/>
      <c r="C90" s="40"/>
      <c r="D90" s="38">
        <f t="shared" si="20"/>
        <v>0</v>
      </c>
      <c r="E90" s="40"/>
      <c r="F90" s="39">
        <f t="shared" si="21"/>
        <v>0</v>
      </c>
      <c r="G90" s="38">
        <f t="shared" si="22"/>
        <v>0</v>
      </c>
      <c r="H90" s="40"/>
      <c r="I90" s="39">
        <f t="shared" si="23"/>
        <v>0</v>
      </c>
      <c r="J90" s="38">
        <f t="shared" si="24"/>
        <v>0</v>
      </c>
      <c r="K90" s="42"/>
    </row>
    <row r="91" s="29" customFormat="1" ht="13.5" spans="1:12">
      <c r="A91" s="36" t="s">
        <v>934</v>
      </c>
      <c r="B91" s="40">
        <f>SUM(B92:B100)</f>
        <v>350</v>
      </c>
      <c r="C91" s="40">
        <f t="shared" ref="C91:H91" si="30">SUM(C92:C100)</f>
        <v>69</v>
      </c>
      <c r="D91" s="38">
        <f t="shared" si="20"/>
        <v>19.7142857142857</v>
      </c>
      <c r="E91" s="40">
        <f t="shared" si="30"/>
        <v>53</v>
      </c>
      <c r="F91" s="39">
        <f t="shared" si="21"/>
        <v>16</v>
      </c>
      <c r="G91" s="38">
        <f t="shared" si="22"/>
        <v>30.188679245283</v>
      </c>
      <c r="H91" s="40">
        <f t="shared" si="30"/>
        <v>726</v>
      </c>
      <c r="I91" s="39">
        <f t="shared" si="23"/>
        <v>657</v>
      </c>
      <c r="J91" s="38">
        <f t="shared" si="24"/>
        <v>187.714285714286</v>
      </c>
      <c r="K91" s="42"/>
      <c r="L91" s="48"/>
    </row>
    <row r="92" s="29" customFormat="1" ht="27" hidden="1" spans="1:11">
      <c r="A92" s="36" t="s">
        <v>935</v>
      </c>
      <c r="B92" s="40"/>
      <c r="C92" s="40"/>
      <c r="D92" s="38">
        <f t="shared" si="20"/>
        <v>0</v>
      </c>
      <c r="E92" s="40"/>
      <c r="F92" s="39">
        <f t="shared" si="21"/>
        <v>0</v>
      </c>
      <c r="G92" s="38">
        <f t="shared" si="22"/>
        <v>0</v>
      </c>
      <c r="H92" s="40"/>
      <c r="I92" s="39">
        <f t="shared" si="23"/>
        <v>0</v>
      </c>
      <c r="J92" s="38">
        <f t="shared" si="24"/>
        <v>0</v>
      </c>
      <c r="K92" s="42"/>
    </row>
    <row r="93" s="29" customFormat="1" ht="13.5" spans="1:11">
      <c r="A93" s="36" t="s">
        <v>936</v>
      </c>
      <c r="B93" s="40">
        <v>50</v>
      </c>
      <c r="C93" s="40">
        <v>23</v>
      </c>
      <c r="D93" s="38">
        <f t="shared" si="20"/>
        <v>46</v>
      </c>
      <c r="E93" s="40">
        <v>6</v>
      </c>
      <c r="F93" s="39">
        <f t="shared" si="21"/>
        <v>17</v>
      </c>
      <c r="G93" s="38">
        <f t="shared" si="22"/>
        <v>283.333333333333</v>
      </c>
      <c r="H93" s="40">
        <f>103+8+216+39+18+13-100</f>
        <v>297</v>
      </c>
      <c r="I93" s="39">
        <f t="shared" si="23"/>
        <v>274</v>
      </c>
      <c r="J93" s="38">
        <f t="shared" si="24"/>
        <v>548</v>
      </c>
      <c r="K93" s="42"/>
    </row>
    <row r="94" s="29" customFormat="1" ht="13.5" spans="1:11">
      <c r="A94" s="36" t="s">
        <v>937</v>
      </c>
      <c r="B94" s="40"/>
      <c r="C94" s="40">
        <v>4</v>
      </c>
      <c r="D94" s="38">
        <f t="shared" si="20"/>
        <v>0</v>
      </c>
      <c r="E94" s="40">
        <v>3</v>
      </c>
      <c r="F94" s="39">
        <f t="shared" si="21"/>
        <v>1</v>
      </c>
      <c r="G94" s="38">
        <f t="shared" si="22"/>
        <v>33.3333333333333</v>
      </c>
      <c r="H94" s="40">
        <v>3</v>
      </c>
      <c r="I94" s="39">
        <f t="shared" si="23"/>
        <v>-1</v>
      </c>
      <c r="J94" s="38">
        <f t="shared" si="24"/>
        <v>0</v>
      </c>
      <c r="K94" s="42"/>
    </row>
    <row r="95" s="29" customFormat="1" ht="13.5" spans="1:11">
      <c r="A95" s="36" t="s">
        <v>938</v>
      </c>
      <c r="B95" s="40">
        <v>7</v>
      </c>
      <c r="C95" s="40">
        <v>9</v>
      </c>
      <c r="D95" s="38">
        <f t="shared" si="20"/>
        <v>128.571428571429</v>
      </c>
      <c r="E95" s="40"/>
      <c r="F95" s="39">
        <f t="shared" si="21"/>
        <v>9</v>
      </c>
      <c r="G95" s="38">
        <f t="shared" si="22"/>
        <v>0</v>
      </c>
      <c r="H95" s="40">
        <f>6+6</f>
        <v>12</v>
      </c>
      <c r="I95" s="39">
        <f t="shared" si="23"/>
        <v>3</v>
      </c>
      <c r="J95" s="38">
        <f t="shared" si="24"/>
        <v>42.8571428571429</v>
      </c>
      <c r="K95" s="42"/>
    </row>
    <row r="96" s="30" customFormat="1" ht="13.5" spans="1:11">
      <c r="A96" s="36" t="s">
        <v>939</v>
      </c>
      <c r="B96" s="40"/>
      <c r="C96" s="40"/>
      <c r="D96" s="38">
        <f t="shared" si="20"/>
        <v>0</v>
      </c>
      <c r="E96" s="40"/>
      <c r="F96" s="39">
        <f t="shared" si="21"/>
        <v>0</v>
      </c>
      <c r="G96" s="38">
        <f t="shared" si="22"/>
        <v>0</v>
      </c>
      <c r="H96" s="40"/>
      <c r="I96" s="39">
        <f t="shared" si="23"/>
        <v>0</v>
      </c>
      <c r="J96" s="38">
        <f t="shared" si="24"/>
        <v>0</v>
      </c>
      <c r="K96" s="42"/>
    </row>
    <row r="97" s="29" customFormat="1" ht="13.5" spans="1:11">
      <c r="A97" s="36" t="s">
        <v>940</v>
      </c>
      <c r="B97" s="40">
        <f>6+68</f>
        <v>74</v>
      </c>
      <c r="C97" s="40">
        <v>26</v>
      </c>
      <c r="D97" s="38">
        <f t="shared" si="20"/>
        <v>35.1351351351351</v>
      </c>
      <c r="E97" s="40">
        <v>14</v>
      </c>
      <c r="F97" s="39">
        <f t="shared" si="21"/>
        <v>12</v>
      </c>
      <c r="G97" s="38">
        <f t="shared" si="22"/>
        <v>85.7142857142857</v>
      </c>
      <c r="H97" s="40">
        <f>6+5+8+7+4+63+16</f>
        <v>109</v>
      </c>
      <c r="I97" s="39">
        <f t="shared" si="23"/>
        <v>83</v>
      </c>
      <c r="J97" s="38">
        <f t="shared" si="24"/>
        <v>112.162162162162</v>
      </c>
      <c r="K97" s="42"/>
    </row>
    <row r="98" s="30" customFormat="1" ht="13.5" spans="1:11">
      <c r="A98" s="36" t="s">
        <v>941</v>
      </c>
      <c r="B98" s="40"/>
      <c r="C98" s="40"/>
      <c r="D98" s="38">
        <f t="shared" si="20"/>
        <v>0</v>
      </c>
      <c r="E98" s="40"/>
      <c r="F98" s="39">
        <f t="shared" si="21"/>
        <v>0</v>
      </c>
      <c r="G98" s="38">
        <f t="shared" si="22"/>
        <v>0</v>
      </c>
      <c r="H98" s="40">
        <v>6</v>
      </c>
      <c r="I98" s="39">
        <f t="shared" si="23"/>
        <v>6</v>
      </c>
      <c r="J98" s="38">
        <f t="shared" si="24"/>
        <v>0</v>
      </c>
      <c r="K98" s="42"/>
    </row>
    <row r="99" s="30" customFormat="1" ht="13.5" spans="1:11">
      <c r="A99" s="36" t="s">
        <v>942</v>
      </c>
      <c r="B99" s="40"/>
      <c r="C99" s="40"/>
      <c r="D99" s="38">
        <f t="shared" si="20"/>
        <v>0</v>
      </c>
      <c r="E99" s="40"/>
      <c r="F99" s="39">
        <f t="shared" si="21"/>
        <v>0</v>
      </c>
      <c r="G99" s="38">
        <f t="shared" si="22"/>
        <v>0</v>
      </c>
      <c r="H99" s="40">
        <f>101+10+28+5+3</f>
        <v>147</v>
      </c>
      <c r="I99" s="39">
        <f t="shared" si="23"/>
        <v>147</v>
      </c>
      <c r="J99" s="38">
        <f t="shared" si="24"/>
        <v>0</v>
      </c>
      <c r="K99" s="42"/>
    </row>
    <row r="100" s="30" customFormat="1" ht="27" spans="1:11">
      <c r="A100" s="36" t="s">
        <v>943</v>
      </c>
      <c r="B100" s="40">
        <v>219</v>
      </c>
      <c r="C100" s="40">
        <v>7</v>
      </c>
      <c r="D100" s="38">
        <f t="shared" si="20"/>
        <v>3.19634703196347</v>
      </c>
      <c r="E100" s="40">
        <v>30</v>
      </c>
      <c r="F100" s="39">
        <f t="shared" si="21"/>
        <v>-23</v>
      </c>
      <c r="G100" s="38">
        <f t="shared" si="22"/>
        <v>-76.6666666666667</v>
      </c>
      <c r="H100" s="40">
        <f>236-84</f>
        <v>152</v>
      </c>
      <c r="I100" s="39">
        <f t="shared" si="23"/>
        <v>145</v>
      </c>
      <c r="J100" s="38">
        <f t="shared" si="24"/>
        <v>66.2100456621005</v>
      </c>
      <c r="K100" s="42"/>
    </row>
    <row r="101" s="30" customFormat="1" ht="13.5" spans="1:11">
      <c r="A101" s="36" t="s">
        <v>944</v>
      </c>
      <c r="B101" s="37">
        <f>SUM(B102)</f>
        <v>1770</v>
      </c>
      <c r="C101" s="37">
        <f t="shared" ref="C101:H101" si="31">SUM(C102)</f>
        <v>284</v>
      </c>
      <c r="D101" s="38">
        <f t="shared" si="20"/>
        <v>16.045197740113</v>
      </c>
      <c r="E101" s="37">
        <f t="shared" si="31"/>
        <v>685</v>
      </c>
      <c r="F101" s="39">
        <f t="shared" si="21"/>
        <v>-401</v>
      </c>
      <c r="G101" s="38">
        <f t="shared" si="22"/>
        <v>-58.5401459854015</v>
      </c>
      <c r="H101" s="37">
        <f t="shared" si="31"/>
        <v>3156</v>
      </c>
      <c r="I101" s="39">
        <f t="shared" si="23"/>
        <v>2872</v>
      </c>
      <c r="J101" s="38">
        <f t="shared" si="24"/>
        <v>162.25988700565</v>
      </c>
      <c r="K101" s="42"/>
    </row>
    <row r="102" s="29" customFormat="1" ht="13.5" spans="1:11">
      <c r="A102" s="36" t="s">
        <v>945</v>
      </c>
      <c r="B102" s="40">
        <v>1770</v>
      </c>
      <c r="C102" s="40">
        <v>284</v>
      </c>
      <c r="D102" s="38">
        <f t="shared" si="20"/>
        <v>16.045197740113</v>
      </c>
      <c r="E102" s="40">
        <v>685</v>
      </c>
      <c r="F102" s="39">
        <f t="shared" si="21"/>
        <v>-401</v>
      </c>
      <c r="G102" s="38">
        <f t="shared" si="22"/>
        <v>-58.5401459854015</v>
      </c>
      <c r="H102" s="40">
        <v>3156</v>
      </c>
      <c r="I102" s="39">
        <f t="shared" si="23"/>
        <v>2872</v>
      </c>
      <c r="J102" s="38">
        <f t="shared" si="24"/>
        <v>162.25988700565</v>
      </c>
      <c r="K102" s="42"/>
    </row>
    <row r="103" s="29" customFormat="1" ht="13.5" spans="1:11">
      <c r="A103" s="36" t="s">
        <v>946</v>
      </c>
      <c r="B103" s="37">
        <f>SUM(B104)</f>
        <v>5</v>
      </c>
      <c r="C103" s="37">
        <f t="shared" ref="C103:H103" si="32">SUM(C104)</f>
        <v>0</v>
      </c>
      <c r="D103" s="38">
        <f t="shared" si="20"/>
        <v>0</v>
      </c>
      <c r="E103" s="37">
        <f t="shared" si="32"/>
        <v>69</v>
      </c>
      <c r="F103" s="39">
        <f t="shared" si="21"/>
        <v>-69</v>
      </c>
      <c r="G103" s="38">
        <f t="shared" si="22"/>
        <v>-100</v>
      </c>
      <c r="H103" s="37">
        <f t="shared" si="32"/>
        <v>0</v>
      </c>
      <c r="I103" s="39">
        <f t="shared" si="23"/>
        <v>0</v>
      </c>
      <c r="J103" s="38">
        <f t="shared" si="24"/>
        <v>0</v>
      </c>
      <c r="K103" s="42"/>
    </row>
    <row r="104" s="29" customFormat="1" ht="13.5" spans="1:11">
      <c r="A104" s="36" t="s">
        <v>947</v>
      </c>
      <c r="B104" s="37">
        <v>5</v>
      </c>
      <c r="C104" s="37"/>
      <c r="D104" s="38">
        <f t="shared" si="20"/>
        <v>0</v>
      </c>
      <c r="E104" s="37">
        <v>69</v>
      </c>
      <c r="F104" s="39">
        <f t="shared" si="21"/>
        <v>-69</v>
      </c>
      <c r="G104" s="38">
        <f t="shared" si="22"/>
        <v>-100</v>
      </c>
      <c r="H104" s="37"/>
      <c r="I104" s="39">
        <f t="shared" si="23"/>
        <v>0</v>
      </c>
      <c r="J104" s="38">
        <f t="shared" si="24"/>
        <v>0</v>
      </c>
      <c r="K104" s="42"/>
    </row>
    <row r="105" s="29" customFormat="1" ht="13.5" spans="1:11">
      <c r="A105" s="36" t="s">
        <v>948</v>
      </c>
      <c r="B105" s="37">
        <f>SUM(B106,B119)</f>
        <v>0</v>
      </c>
      <c r="C105" s="37">
        <f t="shared" ref="C105:H105" si="33">SUM(C106,C119)</f>
        <v>0</v>
      </c>
      <c r="D105" s="38">
        <f t="shared" si="20"/>
        <v>0</v>
      </c>
      <c r="E105" s="37">
        <f t="shared" si="33"/>
        <v>7100</v>
      </c>
      <c r="F105" s="39">
        <f t="shared" si="21"/>
        <v>-7100</v>
      </c>
      <c r="G105" s="38">
        <f t="shared" si="22"/>
        <v>-100</v>
      </c>
      <c r="H105" s="37">
        <f t="shared" si="33"/>
        <v>0</v>
      </c>
      <c r="I105" s="39">
        <f t="shared" si="23"/>
        <v>0</v>
      </c>
      <c r="J105" s="38">
        <f t="shared" si="24"/>
        <v>0</v>
      </c>
      <c r="K105" s="42"/>
    </row>
    <row r="106" s="29" customFormat="1" ht="13.5" spans="1:11">
      <c r="A106" s="36" t="s">
        <v>949</v>
      </c>
      <c r="B106" s="37">
        <f>SUM(B107:B118)</f>
        <v>0</v>
      </c>
      <c r="C106" s="37">
        <f t="shared" ref="C106:H106" si="34">SUM(C107:C118)</f>
        <v>0</v>
      </c>
      <c r="D106" s="38">
        <f t="shared" si="20"/>
        <v>0</v>
      </c>
      <c r="E106" s="37">
        <f t="shared" si="34"/>
        <v>7061</v>
      </c>
      <c r="F106" s="39">
        <f t="shared" si="21"/>
        <v>-7061</v>
      </c>
      <c r="G106" s="38">
        <f t="shared" si="22"/>
        <v>-100</v>
      </c>
      <c r="H106" s="37">
        <f t="shared" si="34"/>
        <v>0</v>
      </c>
      <c r="I106" s="39">
        <f t="shared" si="23"/>
        <v>0</v>
      </c>
      <c r="J106" s="38">
        <f t="shared" si="24"/>
        <v>0</v>
      </c>
      <c r="K106" s="42"/>
    </row>
    <row r="107" s="29" customFormat="1" ht="13.5" spans="1:11">
      <c r="A107" s="36" t="s">
        <v>950</v>
      </c>
      <c r="B107" s="37"/>
      <c r="C107" s="37"/>
      <c r="D107" s="38">
        <f t="shared" si="20"/>
        <v>0</v>
      </c>
      <c r="E107" s="37">
        <v>2665</v>
      </c>
      <c r="F107" s="39">
        <f t="shared" si="21"/>
        <v>-2665</v>
      </c>
      <c r="G107" s="38">
        <f t="shared" si="22"/>
        <v>-100</v>
      </c>
      <c r="H107" s="37"/>
      <c r="I107" s="39">
        <f t="shared" si="23"/>
        <v>0</v>
      </c>
      <c r="J107" s="38">
        <f t="shared" si="24"/>
        <v>0</v>
      </c>
      <c r="K107" s="42"/>
    </row>
    <row r="108" s="30" customFormat="1" ht="13.5" spans="1:11">
      <c r="A108" s="36" t="s">
        <v>951</v>
      </c>
      <c r="B108" s="37"/>
      <c r="C108" s="37"/>
      <c r="D108" s="38">
        <f t="shared" si="20"/>
        <v>0</v>
      </c>
      <c r="E108" s="37">
        <v>266</v>
      </c>
      <c r="F108" s="39">
        <f t="shared" si="21"/>
        <v>-266</v>
      </c>
      <c r="G108" s="38">
        <f t="shared" si="22"/>
        <v>-100</v>
      </c>
      <c r="H108" s="37"/>
      <c r="I108" s="39">
        <f t="shared" si="23"/>
        <v>0</v>
      </c>
      <c r="J108" s="38">
        <f t="shared" si="24"/>
        <v>0</v>
      </c>
      <c r="K108" s="42"/>
    </row>
    <row r="109" s="28" customFormat="1" hidden="1" spans="1:11">
      <c r="A109" s="36" t="s">
        <v>952</v>
      </c>
      <c r="B109" s="37"/>
      <c r="C109" s="37"/>
      <c r="D109" s="38">
        <f t="shared" si="20"/>
        <v>0</v>
      </c>
      <c r="E109" s="37"/>
      <c r="F109" s="39">
        <f t="shared" si="21"/>
        <v>0</v>
      </c>
      <c r="G109" s="38">
        <f t="shared" si="22"/>
        <v>0</v>
      </c>
      <c r="H109" s="37"/>
      <c r="I109" s="39">
        <f t="shared" si="23"/>
        <v>0</v>
      </c>
      <c r="J109" s="38">
        <f t="shared" si="24"/>
        <v>0</v>
      </c>
      <c r="K109" s="42"/>
    </row>
    <row r="110" s="28" customFormat="1" hidden="1" spans="1:11">
      <c r="A110" s="36" t="s">
        <v>953</v>
      </c>
      <c r="B110" s="37"/>
      <c r="C110" s="37"/>
      <c r="D110" s="38">
        <f t="shared" si="20"/>
        <v>0</v>
      </c>
      <c r="E110" s="37"/>
      <c r="F110" s="39">
        <f t="shared" si="21"/>
        <v>0</v>
      </c>
      <c r="G110" s="38">
        <f t="shared" si="22"/>
        <v>0</v>
      </c>
      <c r="H110" s="37"/>
      <c r="I110" s="39">
        <f t="shared" si="23"/>
        <v>0</v>
      </c>
      <c r="J110" s="38">
        <f t="shared" si="24"/>
        <v>0</v>
      </c>
      <c r="K110" s="42"/>
    </row>
    <row r="111" s="28" customFormat="1" spans="1:11">
      <c r="A111" s="36" t="s">
        <v>954</v>
      </c>
      <c r="B111" s="37"/>
      <c r="C111" s="37"/>
      <c r="D111" s="38">
        <f t="shared" si="20"/>
        <v>0</v>
      </c>
      <c r="E111" s="37">
        <v>293</v>
      </c>
      <c r="F111" s="39">
        <f t="shared" si="21"/>
        <v>-293</v>
      </c>
      <c r="G111" s="38">
        <f t="shared" si="22"/>
        <v>-100</v>
      </c>
      <c r="H111" s="37"/>
      <c r="I111" s="39">
        <f t="shared" si="23"/>
        <v>0</v>
      </c>
      <c r="J111" s="38">
        <f t="shared" si="24"/>
        <v>0</v>
      </c>
      <c r="K111" s="42"/>
    </row>
    <row r="112" s="28" customFormat="1" hidden="1" spans="1:11">
      <c r="A112" s="36" t="s">
        <v>955</v>
      </c>
      <c r="B112" s="37"/>
      <c r="C112" s="37"/>
      <c r="D112" s="38">
        <f t="shared" si="20"/>
        <v>0</v>
      </c>
      <c r="E112" s="37"/>
      <c r="F112" s="39">
        <f t="shared" si="21"/>
        <v>0</v>
      </c>
      <c r="G112" s="38">
        <f t="shared" si="22"/>
        <v>0</v>
      </c>
      <c r="H112" s="37"/>
      <c r="I112" s="39">
        <f t="shared" si="23"/>
        <v>0</v>
      </c>
      <c r="J112" s="38">
        <f t="shared" si="24"/>
        <v>0</v>
      </c>
      <c r="K112" s="42"/>
    </row>
    <row r="113" s="28" customFormat="1" hidden="1" spans="1:11">
      <c r="A113" s="36" t="s">
        <v>956</v>
      </c>
      <c r="B113" s="37"/>
      <c r="C113" s="37"/>
      <c r="D113" s="38">
        <f t="shared" si="20"/>
        <v>0</v>
      </c>
      <c r="E113" s="37"/>
      <c r="F113" s="39">
        <f t="shared" si="21"/>
        <v>0</v>
      </c>
      <c r="G113" s="38">
        <f t="shared" si="22"/>
        <v>0</v>
      </c>
      <c r="H113" s="37"/>
      <c r="I113" s="39">
        <f t="shared" si="23"/>
        <v>0</v>
      </c>
      <c r="J113" s="38">
        <f t="shared" si="24"/>
        <v>0</v>
      </c>
      <c r="K113" s="42"/>
    </row>
    <row r="114" s="28" customFormat="1" spans="1:11">
      <c r="A114" s="36" t="s">
        <v>957</v>
      </c>
      <c r="B114" s="37"/>
      <c r="C114" s="37"/>
      <c r="D114" s="38">
        <f t="shared" si="20"/>
        <v>0</v>
      </c>
      <c r="E114" s="37">
        <v>1141</v>
      </c>
      <c r="F114" s="39">
        <f t="shared" si="21"/>
        <v>-1141</v>
      </c>
      <c r="G114" s="38">
        <f t="shared" si="22"/>
        <v>-100</v>
      </c>
      <c r="H114" s="37"/>
      <c r="I114" s="39">
        <f t="shared" si="23"/>
        <v>0</v>
      </c>
      <c r="J114" s="38">
        <f t="shared" si="24"/>
        <v>0</v>
      </c>
      <c r="K114" s="42"/>
    </row>
    <row r="115" s="28" customFormat="1" hidden="1" spans="1:11">
      <c r="A115" s="36" t="s">
        <v>958</v>
      </c>
      <c r="B115" s="37"/>
      <c r="C115" s="37"/>
      <c r="D115" s="38">
        <f t="shared" si="20"/>
        <v>0</v>
      </c>
      <c r="E115" s="37"/>
      <c r="F115" s="39">
        <f t="shared" si="21"/>
        <v>0</v>
      </c>
      <c r="G115" s="38">
        <f t="shared" si="22"/>
        <v>0</v>
      </c>
      <c r="H115" s="37"/>
      <c r="I115" s="39">
        <f t="shared" si="23"/>
        <v>0</v>
      </c>
      <c r="J115" s="38">
        <f t="shared" si="24"/>
        <v>0</v>
      </c>
      <c r="K115" s="42"/>
    </row>
    <row r="116" s="28" customFormat="1" hidden="1" spans="1:11">
      <c r="A116" s="36" t="s">
        <v>959</v>
      </c>
      <c r="B116" s="37"/>
      <c r="C116" s="37"/>
      <c r="D116" s="38">
        <f t="shared" si="20"/>
        <v>0</v>
      </c>
      <c r="E116" s="37"/>
      <c r="F116" s="39">
        <f t="shared" si="21"/>
        <v>0</v>
      </c>
      <c r="G116" s="38">
        <f t="shared" si="22"/>
        <v>0</v>
      </c>
      <c r="H116" s="37"/>
      <c r="I116" s="39">
        <f t="shared" si="23"/>
        <v>0</v>
      </c>
      <c r="J116" s="38">
        <f t="shared" si="24"/>
        <v>0</v>
      </c>
      <c r="K116" s="42"/>
    </row>
    <row r="117" s="28" customFormat="1" hidden="1" spans="1:11">
      <c r="A117" s="36" t="s">
        <v>960</v>
      </c>
      <c r="B117" s="37"/>
      <c r="C117" s="37"/>
      <c r="D117" s="38">
        <f t="shared" si="20"/>
        <v>0</v>
      </c>
      <c r="E117" s="37"/>
      <c r="F117" s="39">
        <f t="shared" si="21"/>
        <v>0</v>
      </c>
      <c r="G117" s="38">
        <f t="shared" si="22"/>
        <v>0</v>
      </c>
      <c r="H117" s="37"/>
      <c r="I117" s="39">
        <f t="shared" si="23"/>
        <v>0</v>
      </c>
      <c r="J117" s="38">
        <f t="shared" si="24"/>
        <v>0</v>
      </c>
      <c r="K117" s="42"/>
    </row>
    <row r="118" s="28" customFormat="1" spans="1:11">
      <c r="A118" s="36" t="s">
        <v>961</v>
      </c>
      <c r="B118" s="37"/>
      <c r="C118" s="37"/>
      <c r="D118" s="38">
        <f t="shared" si="20"/>
        <v>0</v>
      </c>
      <c r="E118" s="37">
        <v>2696</v>
      </c>
      <c r="F118" s="39">
        <f t="shared" si="21"/>
        <v>-2696</v>
      </c>
      <c r="G118" s="38">
        <f t="shared" si="22"/>
        <v>-100</v>
      </c>
      <c r="H118" s="37"/>
      <c r="I118" s="39">
        <f t="shared" si="23"/>
        <v>0</v>
      </c>
      <c r="J118" s="38">
        <f t="shared" si="24"/>
        <v>0</v>
      </c>
      <c r="K118" s="42"/>
    </row>
    <row r="119" s="28" customFormat="1" spans="1:11">
      <c r="A119" s="36" t="s">
        <v>962</v>
      </c>
      <c r="B119" s="37">
        <f>SUM(B120:B125)</f>
        <v>0</v>
      </c>
      <c r="C119" s="37">
        <f t="shared" ref="C119:H119" si="35">SUM(C120:C125)</f>
        <v>0</v>
      </c>
      <c r="D119" s="38">
        <f t="shared" si="20"/>
        <v>0</v>
      </c>
      <c r="E119" s="37">
        <f t="shared" si="35"/>
        <v>39</v>
      </c>
      <c r="F119" s="39">
        <f t="shared" si="21"/>
        <v>-39</v>
      </c>
      <c r="G119" s="38">
        <f t="shared" si="22"/>
        <v>-100</v>
      </c>
      <c r="H119" s="37">
        <f t="shared" si="35"/>
        <v>0</v>
      </c>
      <c r="I119" s="39">
        <f t="shared" si="23"/>
        <v>0</v>
      </c>
      <c r="J119" s="38">
        <f t="shared" si="24"/>
        <v>0</v>
      </c>
      <c r="K119" s="42"/>
    </row>
    <row r="120" s="28" customFormat="1" hidden="1" spans="1:11">
      <c r="A120" s="36" t="s">
        <v>963</v>
      </c>
      <c r="B120" s="37"/>
      <c r="C120" s="37"/>
      <c r="D120" s="38">
        <f t="shared" si="20"/>
        <v>0</v>
      </c>
      <c r="E120" s="37"/>
      <c r="F120" s="39">
        <f t="shared" si="21"/>
        <v>0</v>
      </c>
      <c r="G120" s="38">
        <f t="shared" si="22"/>
        <v>0</v>
      </c>
      <c r="H120" s="37"/>
      <c r="I120" s="39">
        <f t="shared" si="23"/>
        <v>0</v>
      </c>
      <c r="J120" s="38">
        <f t="shared" si="24"/>
        <v>0</v>
      </c>
      <c r="K120" s="42"/>
    </row>
    <row r="121" s="28" customFormat="1" spans="1:11">
      <c r="A121" s="36" t="s">
        <v>650</v>
      </c>
      <c r="B121" s="37"/>
      <c r="C121" s="37"/>
      <c r="D121" s="38">
        <f t="shared" si="20"/>
        <v>0</v>
      </c>
      <c r="E121" s="37">
        <v>39</v>
      </c>
      <c r="F121" s="39">
        <f t="shared" si="21"/>
        <v>-39</v>
      </c>
      <c r="G121" s="38">
        <f t="shared" si="22"/>
        <v>-100</v>
      </c>
      <c r="H121" s="37"/>
      <c r="I121" s="39">
        <f t="shared" si="23"/>
        <v>0</v>
      </c>
      <c r="J121" s="38">
        <f t="shared" si="24"/>
        <v>0</v>
      </c>
      <c r="K121" s="42"/>
    </row>
    <row r="122" s="28" customFormat="1" hidden="1" spans="1:11">
      <c r="A122" s="36" t="s">
        <v>964</v>
      </c>
      <c r="B122" s="37"/>
      <c r="C122" s="37"/>
      <c r="D122" s="38">
        <f t="shared" si="20"/>
        <v>0</v>
      </c>
      <c r="E122" s="37"/>
      <c r="F122" s="39">
        <f t="shared" si="21"/>
        <v>0</v>
      </c>
      <c r="G122" s="38">
        <f t="shared" si="22"/>
        <v>0</v>
      </c>
      <c r="H122" s="37"/>
      <c r="I122" s="39">
        <f t="shared" si="23"/>
        <v>0</v>
      </c>
      <c r="J122" s="38">
        <f t="shared" si="24"/>
        <v>0</v>
      </c>
      <c r="K122" s="42"/>
    </row>
    <row r="123" s="28" customFormat="1" hidden="1" spans="1:11">
      <c r="A123" s="36" t="s">
        <v>965</v>
      </c>
      <c r="B123" s="37"/>
      <c r="C123" s="37"/>
      <c r="D123" s="38">
        <f t="shared" si="20"/>
        <v>0</v>
      </c>
      <c r="E123" s="37"/>
      <c r="F123" s="39">
        <f t="shared" si="21"/>
        <v>0</v>
      </c>
      <c r="G123" s="38">
        <f t="shared" si="22"/>
        <v>0</v>
      </c>
      <c r="H123" s="37"/>
      <c r="I123" s="39">
        <f t="shared" si="23"/>
        <v>0</v>
      </c>
      <c r="J123" s="38">
        <f t="shared" si="24"/>
        <v>0</v>
      </c>
      <c r="K123" s="42"/>
    </row>
    <row r="124" s="28" customFormat="1" hidden="1" spans="1:11">
      <c r="A124" s="36" t="s">
        <v>966</v>
      </c>
      <c r="B124" s="37"/>
      <c r="C124" s="37"/>
      <c r="D124" s="38">
        <f t="shared" si="20"/>
        <v>0</v>
      </c>
      <c r="E124" s="37"/>
      <c r="F124" s="39">
        <f t="shared" si="21"/>
        <v>0</v>
      </c>
      <c r="G124" s="38">
        <f t="shared" si="22"/>
        <v>0</v>
      </c>
      <c r="H124" s="37"/>
      <c r="I124" s="39">
        <f t="shared" si="23"/>
        <v>0</v>
      </c>
      <c r="J124" s="38">
        <f t="shared" si="24"/>
        <v>0</v>
      </c>
      <c r="K124" s="42"/>
    </row>
    <row r="125" s="28" customFormat="1" hidden="1" spans="1:11">
      <c r="A125" s="36" t="s">
        <v>967</v>
      </c>
      <c r="B125" s="37"/>
      <c r="C125" s="37"/>
      <c r="D125" s="38">
        <f t="shared" si="20"/>
        <v>0</v>
      </c>
      <c r="E125" s="37"/>
      <c r="F125" s="39">
        <f t="shared" si="21"/>
        <v>0</v>
      </c>
      <c r="G125" s="38">
        <f t="shared" si="22"/>
        <v>0</v>
      </c>
      <c r="H125" s="37"/>
      <c r="I125" s="39">
        <f t="shared" si="23"/>
        <v>0</v>
      </c>
      <c r="J125" s="38">
        <f t="shared" si="24"/>
        <v>0</v>
      </c>
      <c r="K125" s="42"/>
    </row>
    <row r="126" s="28" customFormat="1" spans="1:11">
      <c r="A126" s="46" t="s">
        <v>968</v>
      </c>
      <c r="B126" s="37">
        <f>SUM(B7,B9,B18,B25,B28,B61,B69,B80,B82,B84,B101,B103,B105)</f>
        <v>4290</v>
      </c>
      <c r="C126" s="37">
        <f t="shared" ref="C126:H126" si="36">SUM(C7,C9,C18,C25,C28,C61,C69,C80,C82,C84,C101,C103,C105)</f>
        <v>20430</v>
      </c>
      <c r="D126" s="38">
        <f t="shared" si="20"/>
        <v>476.223776223776</v>
      </c>
      <c r="E126" s="37">
        <f t="shared" si="36"/>
        <v>55005</v>
      </c>
      <c r="F126" s="39">
        <f t="shared" si="21"/>
        <v>-34575</v>
      </c>
      <c r="G126" s="38">
        <f t="shared" si="22"/>
        <v>-62.8579220070903</v>
      </c>
      <c r="H126" s="37">
        <f t="shared" si="36"/>
        <v>6262</v>
      </c>
      <c r="I126" s="39">
        <f t="shared" si="23"/>
        <v>-14168</v>
      </c>
      <c r="J126" s="38">
        <f t="shared" si="24"/>
        <v>-330.25641025641</v>
      </c>
      <c r="K126" s="42"/>
    </row>
    <row r="127" s="28" customFormat="1" spans="1:11">
      <c r="A127" s="46" t="s">
        <v>739</v>
      </c>
      <c r="B127" s="37">
        <f>SUM(B128:B133)</f>
        <v>0</v>
      </c>
      <c r="C127" s="37">
        <f t="shared" ref="C127:H127" si="37">SUM(C128:C133)</f>
        <v>3768</v>
      </c>
      <c r="D127" s="38"/>
      <c r="E127" s="37">
        <f t="shared" si="37"/>
        <v>5982</v>
      </c>
      <c r="F127" s="39"/>
      <c r="G127" s="38"/>
      <c r="H127" s="37">
        <f t="shared" si="37"/>
        <v>0</v>
      </c>
      <c r="I127" s="39"/>
      <c r="J127" s="38"/>
      <c r="K127" s="42"/>
    </row>
    <row r="128" s="28" customFormat="1" spans="1:11">
      <c r="A128" s="47" t="s">
        <v>969</v>
      </c>
      <c r="B128" s="40"/>
      <c r="C128" s="40"/>
      <c r="D128" s="38"/>
      <c r="E128" s="40"/>
      <c r="F128" s="39"/>
      <c r="G128" s="38"/>
      <c r="H128" s="40"/>
      <c r="I128" s="39"/>
      <c r="J128" s="38"/>
      <c r="K128" s="42"/>
    </row>
    <row r="129" s="28" customFormat="1" spans="1:11">
      <c r="A129" s="47" t="s">
        <v>970</v>
      </c>
      <c r="B129" s="40"/>
      <c r="C129" s="40"/>
      <c r="D129" s="38"/>
      <c r="E129" s="40"/>
      <c r="F129" s="39"/>
      <c r="G129" s="38"/>
      <c r="H129" s="40"/>
      <c r="I129" s="39"/>
      <c r="J129" s="38"/>
      <c r="K129" s="45"/>
    </row>
    <row r="130" s="28" customFormat="1" spans="1:11">
      <c r="A130" s="47" t="s">
        <v>971</v>
      </c>
      <c r="B130" s="40"/>
      <c r="C130" s="40"/>
      <c r="D130" s="38"/>
      <c r="E130" s="40">
        <v>3095</v>
      </c>
      <c r="F130" s="39"/>
      <c r="G130" s="38"/>
      <c r="H130" s="40"/>
      <c r="I130" s="39"/>
      <c r="J130" s="38"/>
      <c r="K130" s="42"/>
    </row>
    <row r="131" s="28" customFormat="1" spans="1:11">
      <c r="A131" s="47" t="s">
        <v>972</v>
      </c>
      <c r="B131" s="40"/>
      <c r="C131" s="40"/>
      <c r="D131" s="38"/>
      <c r="E131" s="40"/>
      <c r="F131" s="39"/>
      <c r="G131" s="38"/>
      <c r="H131" s="40"/>
      <c r="I131" s="39"/>
      <c r="J131" s="38"/>
      <c r="K131" s="42"/>
    </row>
    <row r="132" s="28" customFormat="1" spans="1:11">
      <c r="A132" s="47" t="s">
        <v>973</v>
      </c>
      <c r="B132" s="40"/>
      <c r="C132" s="40"/>
      <c r="D132" s="38"/>
      <c r="E132" s="40"/>
      <c r="F132" s="39"/>
      <c r="G132" s="38"/>
      <c r="H132" s="40"/>
      <c r="I132" s="39"/>
      <c r="J132" s="38"/>
      <c r="K132" s="42"/>
    </row>
    <row r="133" s="28" customFormat="1" spans="1:11">
      <c r="A133" s="47" t="s">
        <v>974</v>
      </c>
      <c r="B133" s="40"/>
      <c r="C133" s="40">
        <f>[1]政府基金收入!C31-[1]政府基金支出!C126-[1]政府基金支出!C128-[1]政府基金支出!C129-[1]政府基金支出!C130-[1]政府基金支出!C131-[1]政府基金支出!C132</f>
        <v>3768</v>
      </c>
      <c r="D133" s="38"/>
      <c r="E133" s="40">
        <v>2887</v>
      </c>
      <c r="F133" s="39"/>
      <c r="G133" s="38"/>
      <c r="H133" s="40"/>
      <c r="I133" s="39"/>
      <c r="J133" s="38"/>
      <c r="K133" s="42"/>
    </row>
    <row r="134" s="28" customFormat="1" spans="1:11">
      <c r="A134" s="46" t="s">
        <v>975</v>
      </c>
      <c r="B134" s="37">
        <f>SUM(B126,B127)</f>
        <v>4290</v>
      </c>
      <c r="C134" s="37">
        <f t="shared" ref="C134:H134" si="38">SUM(C126,C127)</f>
        <v>24198</v>
      </c>
      <c r="D134" s="38"/>
      <c r="E134" s="37">
        <f t="shared" si="38"/>
        <v>60987</v>
      </c>
      <c r="F134" s="39"/>
      <c r="G134" s="38"/>
      <c r="H134" s="37">
        <f t="shared" si="38"/>
        <v>6262</v>
      </c>
      <c r="I134" s="39"/>
      <c r="J134" s="38"/>
      <c r="K134" s="42"/>
    </row>
    <row r="135" s="28" customFormat="1" spans="1:1">
      <c r="A135" s="31"/>
    </row>
    <row r="136" s="28" customFormat="1" spans="1:1">
      <c r="A136" s="31"/>
    </row>
    <row r="137" s="28" customFormat="1" spans="1:8">
      <c r="A137" s="31"/>
      <c r="H137" s="49"/>
    </row>
  </sheetData>
  <mergeCells count="12">
    <mergeCell ref="A2:K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  <mergeCell ref="K4:K6"/>
  </mergeCells>
  <pageMargins left="0.751388888888889" right="0.751388888888889" top="0.275" bottom="0.432638888888889" header="0.156944444444444" footer="0.118055555555556"/>
  <pageSetup paperSize="9" scale="9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K20" sqref="K20"/>
    </sheetView>
  </sheetViews>
  <sheetFormatPr defaultColWidth="26" defaultRowHeight="30" customHeight="1"/>
  <cols>
    <col min="1" max="1" width="46.25" customWidth="1"/>
    <col min="2" max="10" width="12" customWidth="1"/>
    <col min="11" max="16384" width="26" customWidth="1"/>
  </cols>
  <sheetData>
    <row r="1" ht="13.5" spans="1:1">
      <c r="A1" t="s">
        <v>976</v>
      </c>
    </row>
    <row r="2" customHeight="1" spans="1:10">
      <c r="A2" s="4" t="s">
        <v>977</v>
      </c>
      <c r="B2" s="4"/>
      <c r="C2" s="4"/>
      <c r="D2" s="4"/>
      <c r="E2" s="4"/>
      <c r="F2" s="4"/>
      <c r="G2" s="4"/>
      <c r="H2" s="4"/>
      <c r="I2" s="4"/>
      <c r="J2" s="4"/>
    </row>
    <row r="3" ht="27" spans="1:10">
      <c r="A3" s="5"/>
      <c r="B3" s="5"/>
      <c r="C3" s="5"/>
      <c r="D3" s="5"/>
      <c r="E3" s="5"/>
      <c r="F3" s="5"/>
      <c r="G3" s="5"/>
      <c r="H3" s="5"/>
      <c r="I3" s="5"/>
      <c r="J3" s="26" t="s">
        <v>2</v>
      </c>
    </row>
    <row r="4" ht="23" customHeight="1" spans="1:10">
      <c r="A4" s="6" t="s">
        <v>849</v>
      </c>
      <c r="B4" s="7" t="s">
        <v>4</v>
      </c>
      <c r="C4" s="7"/>
      <c r="D4" s="7"/>
      <c r="E4" s="7"/>
      <c r="F4" s="7"/>
      <c r="G4" s="8"/>
      <c r="H4" s="9" t="s">
        <v>5</v>
      </c>
      <c r="I4" s="12"/>
      <c r="J4" s="12"/>
    </row>
    <row r="5" ht="23" customHeight="1" spans="1:10">
      <c r="A5" s="6"/>
      <c r="B5" s="6" t="s">
        <v>7</v>
      </c>
      <c r="C5" s="10" t="s">
        <v>8</v>
      </c>
      <c r="D5" s="11" t="s">
        <v>9</v>
      </c>
      <c r="E5" s="12" t="s">
        <v>823</v>
      </c>
      <c r="F5" s="12" t="s">
        <v>11</v>
      </c>
      <c r="G5" s="13"/>
      <c r="H5" s="9" t="s">
        <v>12</v>
      </c>
      <c r="I5" s="12" t="s">
        <v>13</v>
      </c>
      <c r="J5" s="12"/>
    </row>
    <row r="6" ht="23" customHeight="1" spans="1:10">
      <c r="A6" s="6"/>
      <c r="B6" s="6"/>
      <c r="C6" s="10"/>
      <c r="D6" s="14"/>
      <c r="E6" s="12"/>
      <c r="F6" s="10" t="s">
        <v>14</v>
      </c>
      <c r="G6" s="14" t="s">
        <v>15</v>
      </c>
      <c r="H6" s="9"/>
      <c r="I6" s="10" t="s">
        <v>14</v>
      </c>
      <c r="J6" s="14" t="s">
        <v>15</v>
      </c>
    </row>
    <row r="7" ht="23" customHeight="1" spans="1:10">
      <c r="A7" s="15" t="s">
        <v>978</v>
      </c>
      <c r="B7" s="16">
        <f t="shared" ref="B7:F7" si="0">SUM(B8:B14)</f>
        <v>4941</v>
      </c>
      <c r="C7" s="16">
        <f t="shared" si="0"/>
        <v>6309</v>
      </c>
      <c r="D7" s="17">
        <f t="shared" ref="D7:D10" si="1">C7/B7</f>
        <v>1.27686703096539</v>
      </c>
      <c r="E7" s="16">
        <f t="shared" si="0"/>
        <v>5096</v>
      </c>
      <c r="F7" s="16">
        <f t="shared" si="0"/>
        <v>1213</v>
      </c>
      <c r="G7" s="17">
        <f t="shared" ref="G7:G10" si="2">F7/E7</f>
        <v>0.238029827315542</v>
      </c>
      <c r="H7" s="16">
        <f>SUM(H8:H14)</f>
        <v>6461</v>
      </c>
      <c r="I7" s="16">
        <f>SUM(I8:I14)</f>
        <v>152</v>
      </c>
      <c r="J7" s="17">
        <f t="shared" ref="J7:J10" si="3">I7/C7</f>
        <v>0.0240925661753051</v>
      </c>
    </row>
    <row r="8" ht="23" customHeight="1" spans="1:10">
      <c r="A8" s="19" t="s">
        <v>979</v>
      </c>
      <c r="B8" s="20">
        <v>0</v>
      </c>
      <c r="C8" s="20">
        <v>0</v>
      </c>
      <c r="D8" s="21"/>
      <c r="E8" s="20">
        <v>0</v>
      </c>
      <c r="F8" s="20">
        <v>0</v>
      </c>
      <c r="G8" s="21"/>
      <c r="H8" s="20">
        <v>0</v>
      </c>
      <c r="I8" s="20">
        <v>0</v>
      </c>
      <c r="J8" s="21"/>
    </row>
    <row r="9" ht="23" customHeight="1" spans="1:10">
      <c r="A9" s="23" t="s">
        <v>980</v>
      </c>
      <c r="B9" s="20">
        <v>3288</v>
      </c>
      <c r="C9" s="20">
        <v>4432</v>
      </c>
      <c r="D9" s="21">
        <f t="shared" si="1"/>
        <v>1.34793187347932</v>
      </c>
      <c r="E9" s="20">
        <v>3246</v>
      </c>
      <c r="F9" s="20">
        <f>C9-E9</f>
        <v>1186</v>
      </c>
      <c r="G9" s="21">
        <f t="shared" si="2"/>
        <v>0.365372766481824</v>
      </c>
      <c r="H9" s="20">
        <v>4434</v>
      </c>
      <c r="I9" s="20">
        <f>H9-C9</f>
        <v>2</v>
      </c>
      <c r="J9" s="21">
        <f t="shared" si="3"/>
        <v>0.000451263537906137</v>
      </c>
    </row>
    <row r="10" ht="23" customHeight="1" spans="1:10">
      <c r="A10" s="23" t="s">
        <v>981</v>
      </c>
      <c r="B10" s="20">
        <v>1653</v>
      </c>
      <c r="C10" s="20">
        <v>1877</v>
      </c>
      <c r="D10" s="21">
        <f t="shared" si="1"/>
        <v>1.13551119177253</v>
      </c>
      <c r="E10" s="20">
        <v>1850</v>
      </c>
      <c r="F10" s="20">
        <f>C10-E10</f>
        <v>27</v>
      </c>
      <c r="G10" s="21">
        <f t="shared" si="2"/>
        <v>0.0145945945945946</v>
      </c>
      <c r="H10" s="20">
        <v>2027</v>
      </c>
      <c r="I10" s="20">
        <f>H10-C10</f>
        <v>150</v>
      </c>
      <c r="J10" s="21">
        <f t="shared" si="3"/>
        <v>0.079914757591902</v>
      </c>
    </row>
    <row r="11" ht="33" customHeight="1" spans="1:10">
      <c r="A11" s="23" t="s">
        <v>982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ht="23" customHeight="1" spans="1:10">
      <c r="A12" s="23" t="s">
        <v>983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ht="23" customHeight="1" spans="1:10">
      <c r="A13" s="23" t="s">
        <v>984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ht="23" customHeight="1" spans="1:10">
      <c r="A14" s="23" t="s">
        <v>985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1" header="0.5" footer="0.5"/>
  <pageSetup paperSize="9" scale="8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selection activeCell="K24" sqref="K24"/>
    </sheetView>
  </sheetViews>
  <sheetFormatPr defaultColWidth="36.5" defaultRowHeight="13.5"/>
  <cols>
    <col min="1" max="1" width="51.75" style="2" customWidth="1"/>
    <col min="2" max="10" width="11.875" style="2" customWidth="1"/>
    <col min="11" max="16384" width="36.5" style="2" customWidth="1"/>
  </cols>
  <sheetData>
    <row r="1" ht="14.25" spans="1:10">
      <c r="A1" s="3" t="s">
        <v>986</v>
      </c>
      <c r="B1" s="3"/>
      <c r="C1" s="3"/>
      <c r="D1" s="3"/>
      <c r="E1" s="3"/>
      <c r="F1" s="3"/>
      <c r="G1" s="3"/>
      <c r="H1" s="3"/>
      <c r="I1" s="3"/>
      <c r="J1" s="3"/>
    </row>
    <row r="2" ht="31.5" spans="1:10">
      <c r="A2" s="4" t="s">
        <v>987</v>
      </c>
      <c r="B2" s="4"/>
      <c r="C2" s="4"/>
      <c r="D2" s="4"/>
      <c r="E2" s="4"/>
      <c r="F2" s="4"/>
      <c r="G2" s="4"/>
      <c r="H2" s="4"/>
      <c r="I2" s="4"/>
      <c r="J2" s="4"/>
    </row>
    <row r="3" ht="27" spans="1:10">
      <c r="A3" s="5"/>
      <c r="B3" s="5"/>
      <c r="C3" s="5"/>
      <c r="D3" s="5"/>
      <c r="E3" s="5"/>
      <c r="F3" s="5"/>
      <c r="G3" s="5"/>
      <c r="H3" s="5"/>
      <c r="I3" s="5"/>
      <c r="J3" s="26" t="s">
        <v>2</v>
      </c>
    </row>
    <row r="4" spans="1:10">
      <c r="A4" s="6" t="s">
        <v>849</v>
      </c>
      <c r="B4" s="7" t="s">
        <v>4</v>
      </c>
      <c r="C4" s="7"/>
      <c r="D4" s="7"/>
      <c r="E4" s="7"/>
      <c r="F4" s="7"/>
      <c r="G4" s="8"/>
      <c r="H4" s="9" t="s">
        <v>5</v>
      </c>
      <c r="I4" s="12"/>
      <c r="J4" s="12"/>
    </row>
    <row r="5" spans="1:10">
      <c r="A5" s="6"/>
      <c r="B5" s="6" t="s">
        <v>7</v>
      </c>
      <c r="C5" s="10" t="s">
        <v>8</v>
      </c>
      <c r="D5" s="11" t="s">
        <v>9</v>
      </c>
      <c r="E5" s="12" t="s">
        <v>823</v>
      </c>
      <c r="F5" s="12" t="s">
        <v>11</v>
      </c>
      <c r="G5" s="13"/>
      <c r="H5" s="9" t="s">
        <v>12</v>
      </c>
      <c r="I5" s="12" t="s">
        <v>13</v>
      </c>
      <c r="J5" s="12"/>
    </row>
    <row r="6" ht="14.25" spans="1:10">
      <c r="A6" s="6"/>
      <c r="B6" s="6"/>
      <c r="C6" s="10"/>
      <c r="D6" s="14"/>
      <c r="E6" s="12"/>
      <c r="F6" s="10" t="s">
        <v>14</v>
      </c>
      <c r="G6" s="14" t="s">
        <v>15</v>
      </c>
      <c r="H6" s="9"/>
      <c r="I6" s="10" t="s">
        <v>14</v>
      </c>
      <c r="J6" s="14" t="s">
        <v>15</v>
      </c>
    </row>
    <row r="7" ht="18" customHeight="1" spans="1:10">
      <c r="A7" s="15" t="s">
        <v>988</v>
      </c>
      <c r="B7" s="16">
        <f t="shared" ref="B7:F7" si="0">SUM(B8:B14)</f>
        <v>4470</v>
      </c>
      <c r="C7" s="16">
        <f t="shared" si="0"/>
        <v>4661</v>
      </c>
      <c r="D7" s="17">
        <f t="shared" ref="D7:D10" si="1">C7/B7</f>
        <v>1.0427293064877</v>
      </c>
      <c r="E7" s="16">
        <f t="shared" si="0"/>
        <v>4319</v>
      </c>
      <c r="F7" s="16">
        <f t="shared" si="0"/>
        <v>342</v>
      </c>
      <c r="G7" s="18">
        <f t="shared" ref="G7:G10" si="2">F7/E7</f>
        <v>0.0791849965269738</v>
      </c>
      <c r="H7" s="16">
        <f>SUM(H8:H14)</f>
        <v>4844</v>
      </c>
      <c r="I7" s="16">
        <f>SUM(I8:I14)</f>
        <v>183</v>
      </c>
      <c r="J7" s="18">
        <f t="shared" ref="J7:J10" si="3">I7/C7</f>
        <v>0.0392619609525853</v>
      </c>
    </row>
    <row r="8" s="1" customFormat="1" ht="18" customHeight="1" spans="1:10">
      <c r="A8" s="19" t="s">
        <v>989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0</v>
      </c>
      <c r="H8" s="20">
        <v>0</v>
      </c>
      <c r="I8" s="20">
        <v>0</v>
      </c>
      <c r="J8" s="22">
        <v>0</v>
      </c>
    </row>
    <row r="9" s="1" customFormat="1" ht="18" customHeight="1" spans="1:10">
      <c r="A9" s="23" t="s">
        <v>990</v>
      </c>
      <c r="B9" s="20">
        <v>3088</v>
      </c>
      <c r="C9" s="20">
        <v>3184</v>
      </c>
      <c r="D9" s="21">
        <f t="shared" si="1"/>
        <v>1.03108808290155</v>
      </c>
      <c r="E9" s="20">
        <v>2966</v>
      </c>
      <c r="F9" s="20">
        <f t="shared" ref="F9:F22" si="4">C9-E9</f>
        <v>218</v>
      </c>
      <c r="G9" s="22">
        <f t="shared" si="2"/>
        <v>0.0734996628455833</v>
      </c>
      <c r="H9" s="20">
        <v>3304</v>
      </c>
      <c r="I9" s="20">
        <f t="shared" ref="I9:I22" si="5">H9-C9</f>
        <v>120</v>
      </c>
      <c r="J9" s="22">
        <f t="shared" si="3"/>
        <v>0.0376884422110553</v>
      </c>
    </row>
    <row r="10" s="1" customFormat="1" ht="18" customHeight="1" spans="1:10">
      <c r="A10" s="23" t="s">
        <v>991</v>
      </c>
      <c r="B10" s="20">
        <v>1382</v>
      </c>
      <c r="C10" s="20">
        <v>1477</v>
      </c>
      <c r="D10" s="21">
        <f t="shared" si="1"/>
        <v>1.06874095513748</v>
      </c>
      <c r="E10" s="20">
        <v>1353</v>
      </c>
      <c r="F10" s="20">
        <f t="shared" si="4"/>
        <v>124</v>
      </c>
      <c r="G10" s="22">
        <f t="shared" si="2"/>
        <v>0.0916481892091648</v>
      </c>
      <c r="H10" s="20">
        <v>1540</v>
      </c>
      <c r="I10" s="20">
        <f t="shared" si="5"/>
        <v>63</v>
      </c>
      <c r="J10" s="22">
        <f t="shared" si="3"/>
        <v>0.042654028436019</v>
      </c>
    </row>
    <row r="11" s="1" customFormat="1" ht="18" customHeight="1" spans="1:10">
      <c r="A11" s="23" t="s">
        <v>992</v>
      </c>
      <c r="B11" s="20">
        <v>0</v>
      </c>
      <c r="C11" s="20">
        <v>0</v>
      </c>
      <c r="D11" s="21"/>
      <c r="E11" s="20"/>
      <c r="F11" s="20">
        <f t="shared" si="4"/>
        <v>0</v>
      </c>
      <c r="G11" s="22"/>
      <c r="H11" s="20"/>
      <c r="I11" s="20">
        <f t="shared" si="5"/>
        <v>0</v>
      </c>
      <c r="J11" s="22"/>
    </row>
    <row r="12" s="1" customFormat="1" ht="18" customHeight="1" spans="1:10">
      <c r="A12" s="23" t="s">
        <v>993</v>
      </c>
      <c r="B12" s="20">
        <v>0</v>
      </c>
      <c r="C12" s="20">
        <v>0</v>
      </c>
      <c r="D12" s="21"/>
      <c r="E12" s="20">
        <v>0</v>
      </c>
      <c r="F12" s="20">
        <f t="shared" si="4"/>
        <v>0</v>
      </c>
      <c r="G12" s="22"/>
      <c r="H12" s="20">
        <v>0</v>
      </c>
      <c r="I12" s="20">
        <f t="shared" si="5"/>
        <v>0</v>
      </c>
      <c r="J12" s="22"/>
    </row>
    <row r="13" s="1" customFormat="1" ht="18" customHeight="1" spans="1:10">
      <c r="A13" s="23" t="s">
        <v>994</v>
      </c>
      <c r="B13" s="20">
        <v>0</v>
      </c>
      <c r="C13" s="20">
        <v>0</v>
      </c>
      <c r="D13" s="21"/>
      <c r="E13" s="20">
        <v>0</v>
      </c>
      <c r="F13" s="20">
        <f t="shared" si="4"/>
        <v>0</v>
      </c>
      <c r="G13" s="22"/>
      <c r="H13" s="20">
        <v>0</v>
      </c>
      <c r="I13" s="20">
        <f t="shared" si="5"/>
        <v>0</v>
      </c>
      <c r="J13" s="22"/>
    </row>
    <row r="14" s="1" customFormat="1" ht="18" customHeight="1" spans="1:10">
      <c r="A14" s="23" t="s">
        <v>995</v>
      </c>
      <c r="B14" s="20">
        <v>0</v>
      </c>
      <c r="C14" s="20">
        <v>0</v>
      </c>
      <c r="D14" s="21"/>
      <c r="E14" s="20">
        <v>0</v>
      </c>
      <c r="F14" s="20">
        <f t="shared" si="4"/>
        <v>0</v>
      </c>
      <c r="G14" s="22"/>
      <c r="H14" s="20">
        <v>0</v>
      </c>
      <c r="I14" s="20">
        <f t="shared" si="5"/>
        <v>0</v>
      </c>
      <c r="J14" s="22"/>
    </row>
    <row r="15" ht="18" customHeight="1" spans="1:10">
      <c r="A15" s="24" t="s">
        <v>996</v>
      </c>
      <c r="B15" s="16">
        <f>B19+B21</f>
        <v>470</v>
      </c>
      <c r="C15" s="16">
        <f t="shared" ref="C15:H15" si="6">C19+C21</f>
        <v>1647</v>
      </c>
      <c r="D15" s="17">
        <f t="shared" ref="D15:D22" si="7">C15/B15</f>
        <v>3.50425531914894</v>
      </c>
      <c r="E15" s="16">
        <f t="shared" si="6"/>
        <v>776</v>
      </c>
      <c r="F15" s="16">
        <f t="shared" si="4"/>
        <v>871</v>
      </c>
      <c r="G15" s="18">
        <f t="shared" ref="G15:G22" si="8">F15/E15</f>
        <v>1.12242268041237</v>
      </c>
      <c r="H15" s="16">
        <f t="shared" si="6"/>
        <v>1616.87</v>
      </c>
      <c r="I15" s="16">
        <f t="shared" si="5"/>
        <v>-30.1300000000001</v>
      </c>
      <c r="J15" s="18">
        <f t="shared" ref="J15:J22" si="9">I15/C15</f>
        <v>-0.01829386763813</v>
      </c>
    </row>
    <row r="16" ht="18" customHeight="1" spans="1:10">
      <c r="A16" s="24" t="s">
        <v>997</v>
      </c>
      <c r="B16" s="16">
        <f>B20+B22</f>
        <v>7017</v>
      </c>
      <c r="C16" s="16">
        <f t="shared" ref="C16:H16" si="10">C20+C22</f>
        <v>7583</v>
      </c>
      <c r="D16" s="17">
        <f t="shared" si="7"/>
        <v>1.08066125124697</v>
      </c>
      <c r="E16" s="16">
        <f t="shared" si="10"/>
        <v>6547</v>
      </c>
      <c r="F16" s="16">
        <f t="shared" si="4"/>
        <v>1036</v>
      </c>
      <c r="G16" s="18">
        <f t="shared" si="8"/>
        <v>0.158240415457461</v>
      </c>
      <c r="H16" s="16">
        <f t="shared" si="10"/>
        <v>9201</v>
      </c>
      <c r="I16" s="16">
        <f t="shared" si="5"/>
        <v>1618</v>
      </c>
      <c r="J16" s="18">
        <f t="shared" si="9"/>
        <v>0.213372016352367</v>
      </c>
    </row>
    <row r="17" s="1" customFormat="1" ht="18" customHeight="1" spans="1:10">
      <c r="A17" s="23" t="s">
        <v>998</v>
      </c>
      <c r="B17" s="20">
        <v>0</v>
      </c>
      <c r="C17" s="20">
        <v>0</v>
      </c>
      <c r="D17" s="21"/>
      <c r="E17" s="20">
        <v>0</v>
      </c>
      <c r="F17" s="20">
        <f t="shared" si="4"/>
        <v>0</v>
      </c>
      <c r="G17" s="22"/>
      <c r="H17" s="20">
        <v>0</v>
      </c>
      <c r="I17" s="20">
        <f t="shared" si="5"/>
        <v>0</v>
      </c>
      <c r="J17" s="22"/>
    </row>
    <row r="18" s="1" customFormat="1" ht="18" customHeight="1" spans="1:10">
      <c r="A18" s="23" t="s">
        <v>999</v>
      </c>
      <c r="B18" s="20">
        <v>0</v>
      </c>
      <c r="C18" s="20">
        <v>0</v>
      </c>
      <c r="D18" s="21"/>
      <c r="E18" s="20">
        <v>0</v>
      </c>
      <c r="F18" s="20">
        <f t="shared" si="4"/>
        <v>0</v>
      </c>
      <c r="G18" s="22"/>
      <c r="H18" s="20">
        <v>0</v>
      </c>
      <c r="I18" s="20">
        <f t="shared" si="5"/>
        <v>0</v>
      </c>
      <c r="J18" s="22"/>
    </row>
    <row r="19" s="1" customFormat="1" ht="18" customHeight="1" spans="1:10">
      <c r="A19" s="23" t="s">
        <v>1000</v>
      </c>
      <c r="B19" s="20">
        <v>200</v>
      </c>
      <c r="C19" s="20">
        <v>1248</v>
      </c>
      <c r="D19" s="21">
        <f t="shared" si="7"/>
        <v>6.24</v>
      </c>
      <c r="E19" s="20">
        <v>280</v>
      </c>
      <c r="F19" s="20">
        <f t="shared" si="4"/>
        <v>968</v>
      </c>
      <c r="G19" s="22">
        <f t="shared" si="8"/>
        <v>3.45714285714286</v>
      </c>
      <c r="H19" s="20">
        <f>[2]社会保险基金收入预算表!H8-H9</f>
        <v>1129.58</v>
      </c>
      <c r="I19" s="20">
        <f t="shared" si="5"/>
        <v>-118.42</v>
      </c>
      <c r="J19" s="22">
        <f t="shared" si="9"/>
        <v>-0.0948878205128206</v>
      </c>
    </row>
    <row r="20" s="1" customFormat="1" ht="18" customHeight="1" spans="1:10">
      <c r="A20" s="23" t="s">
        <v>1001</v>
      </c>
      <c r="B20" s="20">
        <v>3943</v>
      </c>
      <c r="C20" s="20">
        <v>4155</v>
      </c>
      <c r="D20" s="21">
        <f t="shared" si="7"/>
        <v>1.05376616789247</v>
      </c>
      <c r="E20" s="20">
        <v>3743</v>
      </c>
      <c r="F20" s="20">
        <f t="shared" si="4"/>
        <v>412</v>
      </c>
      <c r="G20" s="22">
        <f t="shared" si="8"/>
        <v>0.110072134651349</v>
      </c>
      <c r="H20" s="20">
        <v>5285</v>
      </c>
      <c r="I20" s="20">
        <f t="shared" si="5"/>
        <v>1130</v>
      </c>
      <c r="J20" s="22">
        <f t="shared" si="9"/>
        <v>0.271961492178099</v>
      </c>
    </row>
    <row r="21" s="1" customFormat="1" ht="18" customHeight="1" spans="1:10">
      <c r="A21" s="23" t="s">
        <v>1002</v>
      </c>
      <c r="B21" s="20">
        <v>270</v>
      </c>
      <c r="C21" s="20">
        <v>399</v>
      </c>
      <c r="D21" s="21">
        <f t="shared" si="7"/>
        <v>1.47777777777778</v>
      </c>
      <c r="E21" s="20">
        <v>496</v>
      </c>
      <c r="F21" s="20">
        <f t="shared" si="4"/>
        <v>-97</v>
      </c>
      <c r="G21" s="22">
        <f t="shared" si="8"/>
        <v>-0.195564516129032</v>
      </c>
      <c r="H21" s="20">
        <f>[2]社会保险基金收入预算表!H9-H10</f>
        <v>487.29</v>
      </c>
      <c r="I21" s="20">
        <f t="shared" si="5"/>
        <v>88.29</v>
      </c>
      <c r="J21" s="22">
        <f t="shared" si="9"/>
        <v>0.221278195488722</v>
      </c>
    </row>
    <row r="22" s="1" customFormat="1" ht="18" customHeight="1" spans="1:10">
      <c r="A22" s="23" t="s">
        <v>1003</v>
      </c>
      <c r="B22" s="20">
        <v>3074</v>
      </c>
      <c r="C22" s="20">
        <v>3428</v>
      </c>
      <c r="D22" s="21">
        <f t="shared" si="7"/>
        <v>1.11515940143136</v>
      </c>
      <c r="E22" s="20">
        <v>2804</v>
      </c>
      <c r="F22" s="20">
        <f t="shared" si="4"/>
        <v>624</v>
      </c>
      <c r="G22" s="22">
        <f t="shared" si="8"/>
        <v>0.222539229671897</v>
      </c>
      <c r="H22" s="20">
        <v>3916</v>
      </c>
      <c r="I22" s="20">
        <f t="shared" si="5"/>
        <v>488</v>
      </c>
      <c r="J22" s="22">
        <f t="shared" si="9"/>
        <v>0.142357059509918</v>
      </c>
    </row>
    <row r="23" ht="18" customHeight="1" spans="1:10">
      <c r="A23" s="23" t="s">
        <v>1004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</row>
    <row r="24" ht="18" customHeight="1" spans="1:10">
      <c r="A24" s="23" t="s">
        <v>1005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</row>
    <row r="25" ht="18" customHeight="1" spans="1:10">
      <c r="A25" s="23" t="s">
        <v>1006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</row>
    <row r="26" ht="18" customHeight="1" spans="1:10">
      <c r="A26" s="23" t="s">
        <v>1007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</row>
    <row r="27" ht="18" customHeight="1" spans="1:10">
      <c r="A27" s="23" t="s">
        <v>1008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</row>
    <row r="28" ht="18" customHeight="1" spans="1:10">
      <c r="A28" s="23" t="s">
        <v>1009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</row>
    <row r="29" ht="18" customHeight="1" spans="1:10">
      <c r="A29" s="23" t="s">
        <v>1010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</row>
    <row r="30" ht="18" customHeight="1" spans="1:10">
      <c r="A30" s="23" t="s">
        <v>1011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0.826388888888889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雁山区一般公共预算2022年收入预算(草案）</vt:lpstr>
      <vt:lpstr>雁山区一般公共预算2022年支出预算（草案）</vt:lpstr>
      <vt:lpstr>雁山区政府性基金预算2022年收入预算（草案）</vt:lpstr>
      <vt:lpstr>  雁山区政府性基金预算2022年支出预算（草案）</vt:lpstr>
      <vt:lpstr>雁山区2022年社会保险基金收入预算表（草案）</vt:lpstr>
      <vt:lpstr>雁山区2022年社会保险基金支出预算表（草案）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2022-01-12T12:33:00Z</dcterms:created>
  <dcterms:modified xsi:type="dcterms:W3CDTF">2023-07-18T08:37:10Z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D35F97951C4741F39DEA337A83982B6C</vt:lpwstr>
  </property>
  <property fmtid="{D5CDD505-2E9C-101B-9397-08002B2CF9AE}" pid="3" name="KSOProductBuildVer">
    <vt:lpwstr>2052-11.8.2.10972</vt:lpwstr>
  </property>
</Properties>
</file>