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02" activeTab="7"/>
  </bookViews>
  <sheets>
    <sheet name="本级一般公共预算收" sheetId="1" r:id="rId1"/>
    <sheet name="本级一般公共预算支" sheetId="7" r:id="rId2"/>
    <sheet name="支出经济分类" sheetId="8" r:id="rId3"/>
    <sheet name="本级基金收" sheetId="3" r:id="rId4"/>
    <sheet name="本级基金支" sheetId="4" r:id="rId5"/>
    <sheet name="本级社保收" sheetId="5" r:id="rId6"/>
    <sheet name="本级社保支" sheetId="6" r:id="rId7"/>
    <sheet name="绩效目标表 " sheetId="17" r:id="rId8"/>
  </sheets>
  <definedNames>
    <definedName name="_xlnm._FilterDatabase" localSheetId="0" hidden="1">本级一般公共预算收!$A$6:$L$115</definedName>
    <definedName name="_xlnm._FilterDatabase" localSheetId="1" hidden="1">本级一般公共预算支!$A$6:$N$759</definedName>
    <definedName name="_xlnm._FilterDatabase" localSheetId="4" hidden="1">本级基金支!$A$6:$N$106</definedName>
    <definedName name="_xlnm._FilterDatabase" localSheetId="7" hidden="1">'绩效目标表 '!$A$4:$E$164</definedName>
    <definedName name="_xlnm._FilterDatabase" localSheetId="2" hidden="1">支出经济分类!$A$5:$C$70</definedName>
    <definedName name="_xlnm.Print_Area" localSheetId="2">支出经济分类!$A$1:$C$70</definedName>
    <definedName name="_xlnm.Print_Titles" localSheetId="4">本级基金支!$4:$6</definedName>
    <definedName name="_xlnm.Print_Titles" localSheetId="0">本级一般公共预算收!$2:$6</definedName>
    <definedName name="_xlnm.Print_Titles" localSheetId="1">本级一般公共预算支!$4:$6</definedName>
    <definedName name="_xlnm.Print_Titles" localSheetId="2">支出经济分类!$4:$4</definedName>
    <definedName name="_xlnm.Print_Titles" localSheetId="7">'绩效目标表 '!$4:$4</definedName>
  </definedNames>
  <calcPr calcId="144525"/>
</workbook>
</file>

<file path=xl/sharedStrings.xml><?xml version="1.0" encoding="utf-8"?>
<sst xmlns="http://schemas.openxmlformats.org/spreadsheetml/2006/main" count="2609" uniqueCount="1384">
  <si>
    <t>附件1</t>
  </si>
  <si>
    <t>雁山区一般公共预算2025年收入预算(草案）</t>
  </si>
  <si>
    <t>单位：万元</t>
  </si>
  <si>
    <t>项目</t>
  </si>
  <si>
    <t>2024年</t>
  </si>
  <si>
    <t>2025年预算</t>
  </si>
  <si>
    <t>备注</t>
  </si>
  <si>
    <t>年初      预算</t>
  </si>
  <si>
    <t>调整    预算</t>
  </si>
  <si>
    <t>执行数</t>
  </si>
  <si>
    <t>完成预算(%)</t>
  </si>
  <si>
    <t>2023年决算数</t>
  </si>
  <si>
    <t>比上年完成数增减</t>
  </si>
  <si>
    <t>建议数</t>
  </si>
  <si>
    <t>比2024年执行数增减</t>
  </si>
  <si>
    <t>金额</t>
  </si>
  <si>
    <t>%</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</si>
  <si>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</si>
  <si>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</si>
  <si>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</si>
  <si>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</si>
  <si>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</si>
  <si>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</si>
  <si>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</si>
  <si>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</si>
  <si>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</si>
  <si>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</si>
  <si>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</si>
  <si>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</si>
  <si>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</si>
  <si>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</si>
  <si>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</si>
  <si>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</si>
  <si>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</si>
  <si>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</si>
  <si>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</si>
  <si>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</si>
  <si>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</si>
  <si>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</si>
  <si>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</si>
  <si>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</si>
  <si>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</si>
  <si>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一般公共预算收入小计</t>
  </si>
  <si>
    <t>转移性收入</t>
  </si>
  <si>
    <t>（一）上级补助收入</t>
  </si>
  <si>
    <t xml:space="preserve"> 1.返还性收入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</si>
  <si>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</si>
  <si>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</si>
  <si>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</si>
  <si>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</si>
  <si>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</si>
  <si>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</si>
  <si>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2.一般性转移支付收入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</si>
  <si>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</si>
  <si>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</si>
  <si>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</si>
  <si>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</si>
  <si>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</si>
  <si>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</si>
  <si>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</si>
  <si>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</si>
  <si>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</si>
  <si>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</si>
  <si>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</si>
  <si>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</si>
  <si>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</si>
  <si>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</si>
  <si>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</si>
  <si>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</si>
  <si>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</si>
  <si>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</si>
  <si>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</si>
  <si>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</si>
  <si>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</si>
  <si>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</si>
  <si>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</si>
  <si>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</si>
  <si>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</si>
  <si>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</si>
  <si>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</si>
  <si>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</si>
  <si>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</si>
  <si>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</si>
  <si>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</si>
  <si>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</si>
  <si>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</si>
  <si>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</si>
  <si>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</si>
  <si>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3.专项转移支付收入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</si>
  <si>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</si>
  <si>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</si>
  <si>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</si>
  <si>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</si>
  <si>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</si>
  <si>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</si>
  <si>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</si>
  <si>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</si>
  <si>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</si>
  <si>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</si>
  <si>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</si>
  <si>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</si>
  <si>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</si>
  <si>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</si>
  <si>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</si>
  <si>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</si>
  <si>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</si>
  <si>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</si>
  <si>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</si>
  <si>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</si>
  <si>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（二）下级上解收入</t>
  </si>
  <si>
    <t xml:space="preserve">    1.体制上解收入</t>
  </si>
  <si>
    <t xml:space="preserve">    2.专项上解收入</t>
  </si>
  <si>
    <t>（三）上年结余收入</t>
  </si>
  <si>
    <t xml:space="preserve">    1.上年结转</t>
  </si>
  <si>
    <t xml:space="preserve">    2. 净结余</t>
  </si>
  <si>
    <t>（四）调入资金</t>
  </si>
  <si>
    <t>（五）地方政府一般债务转贷收入</t>
  </si>
  <si>
    <t>（六）接受其他地区援助收入</t>
  </si>
  <si>
    <t>（七）调入预算稳定调节基金</t>
  </si>
  <si>
    <t>收入总计</t>
  </si>
  <si>
    <t>一般支出</t>
  </si>
  <si>
    <t>上解</t>
  </si>
  <si>
    <t>还本</t>
  </si>
  <si>
    <t>支出总计</t>
  </si>
  <si>
    <t>结余</t>
  </si>
  <si>
    <t>附件2</t>
  </si>
  <si>
    <t>雁山区一般公共预算2025年支出预算（草案）</t>
  </si>
  <si>
    <t>科目类别</t>
  </si>
  <si>
    <t>科目代码</t>
  </si>
  <si>
    <t>功能分类</t>
  </si>
  <si>
    <t>2024年预算</t>
  </si>
  <si>
    <t>比上年完成数      增减</t>
  </si>
  <si>
    <t>预算数</t>
  </si>
  <si>
    <t>比2024年年初预算数增减</t>
  </si>
  <si>
    <t>类</t>
  </si>
  <si>
    <t xml:space="preserve">  一般公共服务支出</t>
  </si>
  <si>
    <t>款</t>
  </si>
  <si>
    <t xml:space="preserve">    人大事务</t>
  </si>
  <si>
    <t>项</t>
  </si>
  <si>
    <t xml:space="preserve">      行政运行</t>
  </si>
  <si>
    <t xml:space="preserve">      一般行政管理事务</t>
  </si>
  <si>
    <t xml:space="preserve">      机关服务</t>
  </si>
  <si>
    <t xml:space="preserve">      人大会议</t>
  </si>
  <si>
    <t xml:space="preserve">      其他人大事务支出</t>
  </si>
  <si>
    <t xml:space="preserve">    政协事务</t>
  </si>
  <si>
    <t xml:space="preserve">      政协会议</t>
  </si>
  <si>
    <t xml:space="preserve">      委员视察</t>
  </si>
  <si>
    <t xml:space="preserve">      参政议政</t>
  </si>
  <si>
    <t xml:space="preserve">      事业运行</t>
  </si>
  <si>
    <t xml:space="preserve">      其他政协事务支出</t>
  </si>
  <si>
    <t xml:space="preserve">    政府办公厅(室)及相关机构事务</t>
  </si>
  <si>
    <t xml:space="preserve">      其他政府办公厅(室)及相关机构事务支出</t>
  </si>
  <si>
    <t xml:space="preserve">    发展与改革事务</t>
  </si>
  <si>
    <t xml:space="preserve">      其他发展与改革事务支出</t>
  </si>
  <si>
    <t xml:space="preserve">    统计信息事务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</si>
  <si>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</si>
  <si>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</si>
  <si>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</si>
  <si>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</si>
  <si>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</si>
  <si>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</si>
  <si>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</si>
  <si>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</si>
  <si>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</si>
  <si>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</si>
  <si>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</si>
  <si>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</si>
  <si>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</si>
  <si>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</si>
  <si>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其他审计事务支出</t>
  </si>
  <si>
    <t xml:space="preserve">    海关事务</t>
  </si>
  <si>
    <t xml:space="preserve">      其他海关事务支出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</si>
  <si>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</si>
  <si>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</si>
  <si>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</si>
  <si>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</si>
  <si>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</si>
  <si>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</si>
  <si>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其他知识产权事务支出</t>
  </si>
  <si>
    <t xml:space="preserve">    民族事务</t>
  </si>
  <si>
    <t xml:space="preserve">      民族工作专项</t>
  </si>
  <si>
    <t xml:space="preserve">      其他民族事务支出</t>
  </si>
  <si>
    <t xml:space="preserve">    港澳台事务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</si>
  <si>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</si>
  <si>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</si>
  <si>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</si>
  <si>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</si>
  <si>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</si>
  <si>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</si>
  <si>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</si>
  <si>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</si>
  <si>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</si>
  <si>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</si>
  <si>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</si>
  <si>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</si>
  <si>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</si>
  <si>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</si>
  <si>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</si>
  <si>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</si>
  <si>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</si>
  <si>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</si>
  <si>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</si>
  <si>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</si>
  <si>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</si>
  <si>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</si>
  <si>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</si>
  <si>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</si>
  <si>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</si>
  <si>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其他网信事务支出</t>
  </si>
  <si>
    <t xml:space="preserve">    市场监督管理事务</t>
  </si>
  <si>
    <t xml:space="preserve">      药品事务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</si>
  <si>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</si>
  <si>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</si>
  <si>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</si>
  <si>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</si>
  <si>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</si>
  <si>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</si>
  <si>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</si>
  <si>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</si>
  <si>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</si>
  <si>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</si>
  <si>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</si>
  <si>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</si>
  <si>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</si>
  <si>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</si>
  <si>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其他驻外机构支出</t>
  </si>
  <si>
    <t xml:space="preserve">    对外援助</t>
  </si>
  <si>
    <t xml:space="preserve">      对外援助</t>
  </si>
  <si>
    <t xml:space="preserve">    国际组织</t>
  </si>
  <si>
    <t xml:space="preserve">      其他国际组织支出</t>
  </si>
  <si>
    <t xml:space="preserve">    对外合作与交流</t>
  </si>
  <si>
    <t xml:space="preserve">      其他对外合作与交流支出</t>
  </si>
  <si>
    <t xml:space="preserve">    对外宣传</t>
  </si>
  <si>
    <t xml:space="preserve">      对外宣传</t>
  </si>
  <si>
    <t xml:space="preserve">    边界勘界联检</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</si>
  <si>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</si>
  <si>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</si>
  <si>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</si>
  <si>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</si>
  <si>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</si>
  <si>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</si>
  <si>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</si>
  <si>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其他军费支出</t>
  </si>
  <si>
    <t xml:space="preserve">    国防科研事业</t>
  </si>
  <si>
    <t xml:space="preserve">      国防科研事业</t>
  </si>
  <si>
    <t xml:space="preserve">    专项工程</t>
  </si>
  <si>
    <t xml:space="preserve">      专项工程</t>
  </si>
  <si>
    <t xml:space="preserve">    国防动员</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</si>
  <si>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</si>
  <si>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</si>
  <si>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</si>
  <si>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</si>
  <si>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</si>
  <si>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</si>
  <si>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</si>
  <si>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其他武装警察部队支出</t>
  </si>
  <si>
    <t xml:space="preserve">    公安</t>
  </si>
  <si>
    <t xml:space="preserve">      其他公安支出</t>
  </si>
  <si>
    <t xml:space="preserve">    国家安全</t>
  </si>
  <si>
    <t xml:space="preserve">      其他国家安全支出</t>
  </si>
  <si>
    <t xml:space="preserve">    检察</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</si>
  <si>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</si>
  <si>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</si>
  <si>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</si>
  <si>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</si>
  <si>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</si>
  <si>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</si>
  <si>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</si>
  <si>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</si>
  <si>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</si>
  <si>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</si>
  <si>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</si>
  <si>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</si>
  <si>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</si>
  <si>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</si>
  <si>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</si>
  <si>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</si>
  <si>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其他监狱支出</t>
  </si>
  <si>
    <t xml:space="preserve">    强制隔离戒毒</t>
  </si>
  <si>
    <t xml:space="preserve">      其他强制隔离戒毒支出</t>
  </si>
  <si>
    <t xml:space="preserve">    国家保密</t>
  </si>
  <si>
    <t xml:space="preserve">      其他国家保密支出</t>
  </si>
  <si>
    <t xml:space="preserve">    缉私警察</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</si>
  <si>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</si>
  <si>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</si>
  <si>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</si>
  <si>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</si>
  <si>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</si>
  <si>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</si>
  <si>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</si>
  <si>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</si>
  <si>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</si>
  <si>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</si>
  <si>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</si>
  <si>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</si>
  <si>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</si>
  <si>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</si>
  <si>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</si>
  <si>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其他职业教育支出</t>
  </si>
  <si>
    <t xml:space="preserve">    成人教育</t>
  </si>
  <si>
    <t xml:space="preserve">      其他成人教育支出</t>
  </si>
  <si>
    <t xml:space="preserve">    广播电视教育</t>
  </si>
  <si>
    <t xml:space="preserve">      其他广播电视教育支出</t>
  </si>
  <si>
    <t xml:space="preserve">    留学教育</t>
  </si>
  <si>
    <t xml:space="preserve">      其他留学教育支出</t>
  </si>
  <si>
    <t xml:space="preserve">    特殊教育</t>
  </si>
  <si>
    <t xml:space="preserve">      其他特殊教育支出</t>
  </si>
  <si>
    <t xml:space="preserve">    进修及培训</t>
  </si>
  <si>
    <t xml:space="preserve">      其他进修及培训</t>
  </si>
  <si>
    <t xml:space="preserve">    教育费附加安排的支出</t>
  </si>
  <si>
    <t xml:space="preserve">      农村中小学校舍建设</t>
  </si>
  <si>
    <t xml:space="preserve">      农村中小学教学设施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</si>
  <si>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</si>
  <si>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</si>
  <si>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</si>
  <si>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</si>
  <si>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</si>
  <si>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</si>
  <si>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</si>
  <si>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其他基础研究支出</t>
  </si>
  <si>
    <t xml:space="preserve">    应用研究</t>
  </si>
  <si>
    <t xml:space="preserve">      其他应用研究支出</t>
  </si>
  <si>
    <t xml:space="preserve">    技术研究与开发</t>
  </si>
  <si>
    <t xml:space="preserve">      其他技术研究与开发支出</t>
  </si>
  <si>
    <t xml:space="preserve">    科技条件与服务</t>
  </si>
  <si>
    <t xml:space="preserve">      其他科技条件与服务支出</t>
  </si>
  <si>
    <t xml:space="preserve">    社会科学</t>
  </si>
  <si>
    <t xml:space="preserve">      其他社会科学支出</t>
  </si>
  <si>
    <t xml:space="preserve">    科学技术普及</t>
  </si>
  <si>
    <t xml:space="preserve">      机构运行</t>
  </si>
  <si>
    <t xml:space="preserve">      科普活动</t>
  </si>
  <si>
    <t xml:space="preserve">    科技交流与合作</t>
  </si>
  <si>
    <t xml:space="preserve">      其他科技交流与合作支出</t>
  </si>
  <si>
    <t xml:space="preserve">    科技重大项目</t>
  </si>
  <si>
    <t xml:space="preserve">      其他科技重大项目</t>
  </si>
  <si>
    <t xml:space="preserve">    其他科学技术支出</t>
  </si>
  <si>
    <t xml:space="preserve">      其他科学技术支出</t>
  </si>
  <si>
    <t xml:space="preserve">  文化旅游体育与传媒支出</t>
  </si>
  <si>
    <t xml:space="preserve">    文化和旅游</t>
  </si>
  <si>
    <t xml:space="preserve">      图书馆</t>
  </si>
  <si>
    <t xml:space="preserve">      群众文化</t>
  </si>
  <si>
    <t xml:space="preserve">      旅游宣传</t>
  </si>
  <si>
    <t xml:space="preserve">      文化和旅游管理事务</t>
  </si>
  <si>
    <t xml:space="preserve">      其他文化和旅游支出</t>
  </si>
  <si>
    <t xml:space="preserve">    文物</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</si>
  <si>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</si>
  <si>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</si>
  <si>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</si>
  <si>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</si>
  <si>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</si>
  <si>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</si>
  <si>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</si>
  <si>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</si>
  <si>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</si>
  <si>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</si>
  <si>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其他新闻出版电影支出</t>
  </si>
  <si>
    <t xml:space="preserve">    广播电视</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</si>
  <si>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</si>
  <si>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</si>
  <si>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</si>
  <si>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</si>
  <si>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</si>
  <si>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</si>
  <si>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</si>
  <si>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劳动保障监察</t>
  </si>
  <si>
    <t xml:space="preserve">      就业管理事务</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</si>
  <si>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</si>
  <si>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</si>
  <si>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</si>
  <si>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</si>
  <si>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</si>
  <si>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</si>
  <si>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</si>
  <si>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</si>
  <si>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</si>
  <si>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</si>
  <si>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</si>
  <si>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</si>
  <si>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</si>
  <si>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</si>
  <si>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</si>
  <si>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</si>
  <si>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</si>
  <si>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</si>
  <si>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</si>
  <si>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</si>
  <si>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</si>
  <si>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</si>
  <si>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</si>
  <si>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</si>
  <si>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</si>
  <si>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</si>
  <si>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</si>
  <si>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</si>
  <si>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</si>
  <si>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</si>
  <si>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</si>
  <si>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</si>
  <si>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</si>
  <si>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</si>
  <si>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</si>
  <si>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</si>
  <si>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</si>
  <si>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</si>
  <si>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</si>
  <si>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</si>
  <si>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军队转业干部安置</t>
  </si>
  <si>
    <t xml:space="preserve">      其他退役安置支出</t>
  </si>
  <si>
    <t xml:space="preserve">    社会福利</t>
  </si>
  <si>
    <t xml:space="preserve">      儿童福利</t>
  </si>
  <si>
    <t xml:space="preserve">      老年福利</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</si>
  <si>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</si>
  <si>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</si>
  <si>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</si>
  <si>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</si>
  <si>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</si>
  <si>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</si>
  <si>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</si>
  <si>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</si>
  <si>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</si>
  <si>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</si>
  <si>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</si>
  <si>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</si>
  <si>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</si>
  <si>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</si>
  <si>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</si>
  <si>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</si>
  <si>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</si>
  <si>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</si>
  <si>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</si>
  <si>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交强险罚款收入补助基金支出</t>
  </si>
  <si>
    <t xml:space="preserve">    其他生活救助</t>
  </si>
  <si>
    <t xml:space="preserve">      其他城市生活救助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</si>
  <si>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</si>
  <si>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</si>
  <si>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</si>
  <si>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</si>
  <si>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</si>
  <si>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</si>
  <si>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</si>
  <si>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</si>
  <si>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</si>
  <si>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</si>
  <si>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</si>
  <si>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</si>
  <si>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</si>
  <si>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</si>
  <si>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</si>
  <si>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</si>
  <si>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</si>
  <si>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</si>
  <si>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</si>
  <si>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</si>
  <si>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</si>
  <si>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</si>
  <si>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</si>
  <si>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</si>
  <si>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</si>
  <si>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</si>
  <si>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</si>
  <si>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</si>
  <si>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</si>
  <si>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</si>
  <si>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</si>
  <si>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</si>
  <si>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</si>
  <si>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</si>
  <si>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</si>
  <si>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</si>
  <si>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</si>
  <si>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</si>
  <si>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</si>
  <si>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</si>
  <si>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</si>
  <si>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</si>
  <si>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</si>
  <si>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</si>
  <si>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</si>
  <si>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</si>
  <si>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</si>
  <si>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</si>
  <si>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</si>
  <si>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</si>
  <si>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</si>
  <si>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</si>
  <si>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</si>
  <si>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</si>
  <si>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</si>
  <si>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</si>
  <si>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</si>
  <si>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</si>
  <si>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</si>
  <si>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</si>
  <si>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</si>
  <si>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</si>
  <si>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</si>
  <si>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</si>
  <si>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</si>
  <si>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环境监测与监察</t>
  </si>
  <si>
    <t xml:space="preserve">      其他环境监测与监察支出</t>
  </si>
  <si>
    <t xml:space="preserve">    污染防治</t>
  </si>
  <si>
    <t xml:space="preserve">      大气</t>
  </si>
  <si>
    <t xml:space="preserve">      水体</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</si>
  <si>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</si>
  <si>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</si>
  <si>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</si>
  <si>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</si>
  <si>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</si>
  <si>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</si>
  <si>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森林保护修复</t>
  </si>
  <si>
    <t xml:space="preserve">      其他森林保护修复支出</t>
  </si>
  <si>
    <t xml:space="preserve">    风沙荒漠治理</t>
  </si>
  <si>
    <t xml:space="preserve">      其他风沙荒漠治理支出</t>
  </si>
  <si>
    <t xml:space="preserve">    退牧还草</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</si>
  <si>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</si>
  <si>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</si>
  <si>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</si>
  <si>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</si>
  <si>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</si>
  <si>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</si>
  <si>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减排专项支出</t>
  </si>
  <si>
    <t xml:space="preserve">    可再生能源</t>
  </si>
  <si>
    <t xml:space="preserve">      可再生能源</t>
  </si>
  <si>
    <t xml:space="preserve">    循环经济</t>
  </si>
  <si>
    <t xml:space="preserve">      循环经济</t>
  </si>
  <si>
    <t xml:space="preserve">    能源管理事务</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</si>
  <si>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</si>
  <si>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</si>
  <si>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</si>
  <si>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</si>
  <si>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</si>
  <si>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</si>
  <si>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</si>
  <si>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</si>
  <si>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</si>
  <si>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</si>
  <si>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</si>
  <si>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</si>
  <si>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</si>
  <si>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</si>
  <si>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</si>
  <si>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</si>
  <si>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</si>
  <si>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</si>
  <si>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</si>
  <si>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</si>
  <si>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</si>
  <si>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</si>
  <si>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</si>
  <si>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</si>
  <si>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</si>
  <si>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</si>
  <si>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</si>
  <si>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</si>
  <si>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</si>
  <si>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</si>
  <si>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</si>
  <si>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</si>
  <si>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</si>
  <si>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</si>
  <si>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</si>
  <si>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</si>
  <si>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</si>
  <si>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</si>
  <si>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</si>
  <si>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</si>
  <si>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</si>
  <si>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</si>
  <si>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</si>
  <si>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</si>
  <si>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</si>
  <si>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</si>
  <si>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</si>
  <si>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</si>
  <si>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林业草原防灾减灾</t>
  </si>
  <si>
    <t xml:space="preserve">      其他林业和草原支出</t>
  </si>
  <si>
    <t xml:space="preserve">    水利</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</si>
  <si>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</si>
  <si>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</si>
  <si>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</si>
  <si>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</si>
  <si>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</si>
  <si>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</si>
  <si>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</si>
  <si>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</si>
  <si>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</si>
  <si>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</si>
  <si>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</si>
  <si>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</si>
  <si>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</si>
  <si>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</si>
  <si>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</si>
  <si>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水利建设征地及移民支出</t>
  </si>
  <si>
    <t xml:space="preserve">      农村供水</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</si>
  <si>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</si>
  <si>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</si>
  <si>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</si>
  <si>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</si>
  <si>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</si>
  <si>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</si>
  <si>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</si>
  <si>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</si>
  <si>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</si>
  <si>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</si>
  <si>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</si>
  <si>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</si>
  <si>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</si>
  <si>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</si>
  <si>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</si>
  <si>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</si>
  <si>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</si>
  <si>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目标价格补贴</t>
  </si>
  <si>
    <t xml:space="preserve">      其他目标价格补贴</t>
  </si>
  <si>
    <t xml:space="preserve">    其他农林水支出</t>
  </si>
  <si>
    <t xml:space="preserve">      其他农林水支出</t>
  </si>
  <si>
    <t xml:space="preserve">  交通运输支出</t>
  </si>
  <si>
    <t xml:space="preserve">    公路水路运输</t>
  </si>
  <si>
    <t xml:space="preserve">      公路建设</t>
  </si>
  <si>
    <t xml:space="preserve">      公路养护</t>
  </si>
  <si>
    <t xml:space="preserve">      其他公路水路运输支出</t>
  </si>
  <si>
    <t xml:space="preserve">    铁路运输</t>
  </si>
  <si>
    <t xml:space="preserve">      其他铁路运输支出</t>
  </si>
  <si>
    <t xml:space="preserve">    民用航空运输</t>
  </si>
  <si>
    <t xml:space="preserve">      其他民用航空运输支出</t>
  </si>
  <si>
    <t xml:space="preserve">    邮政业支出</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</si>
  <si>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</si>
  <si>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</si>
  <si>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</si>
  <si>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</si>
  <si>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</si>
  <si>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</si>
  <si>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其他资源勘探业支出</t>
  </si>
  <si>
    <t xml:space="preserve">    制造业</t>
  </si>
  <si>
    <t xml:space="preserve">      其他制造业支出</t>
  </si>
  <si>
    <t xml:space="preserve">    建筑业</t>
  </si>
  <si>
    <t xml:space="preserve">      其他建筑业支出</t>
  </si>
  <si>
    <t xml:space="preserve">    工业和信息产业监管</t>
  </si>
  <si>
    <t xml:space="preserve">      其他工业和信息产业监管支出</t>
  </si>
  <si>
    <t xml:space="preserve">    国有资产监管</t>
  </si>
  <si>
    <t xml:space="preserve">      其他国有资产监管支出</t>
  </si>
  <si>
    <t xml:space="preserve">    支持中小企业发展和管理支出</t>
  </si>
  <si>
    <t xml:space="preserve">      减免房租补贴</t>
  </si>
  <si>
    <t xml:space="preserve">      其他支持中小企业发展和管理支出</t>
  </si>
  <si>
    <t xml:space="preserve">    其他资源勘探工业信息等支出</t>
  </si>
  <si>
    <t xml:space="preserve">      其他资源勘探工业信息等支出</t>
  </si>
  <si>
    <t xml:space="preserve">  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</si>
  <si>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</si>
  <si>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</si>
  <si>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</si>
  <si>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</si>
  <si>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</si>
  <si>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</si>
  <si>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</si>
  <si>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</si>
  <si>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</si>
  <si>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金融部门其他行政支出</t>
  </si>
  <si>
    <t xml:space="preserve">    金融部门监管支出</t>
  </si>
  <si>
    <t xml:space="preserve">      金融部门其他监管支出</t>
  </si>
  <si>
    <t xml:space="preserve">    金融发展支出</t>
  </si>
  <si>
    <t xml:space="preserve">      政策性银行亏损补贴</t>
  </si>
  <si>
    <t xml:space="preserve">      利息费用补贴支出</t>
  </si>
  <si>
    <t xml:space="preserve">    金融调控支出</t>
  </si>
  <si>
    <t xml:space="preserve">      其他金融调控支出</t>
  </si>
  <si>
    <t xml:space="preserve">    其他金融支出</t>
  </si>
  <si>
    <t xml:space="preserve">      重点企业贷款贴息</t>
  </si>
  <si>
    <t xml:space="preserve">      其他金融支出</t>
  </si>
  <si>
    <t xml:space="preserve">  援助其他地区支出</t>
  </si>
  <si>
    <t xml:space="preserve">    其他支出</t>
  </si>
  <si>
    <t xml:space="preserve">  自然资源海洋气象等支出</t>
  </si>
  <si>
    <t xml:space="preserve">    自然资源事务</t>
  </si>
  <si>
    <t xml:space="preserve">      自然资源规划及管理</t>
  </si>
  <si>
    <t xml:space="preserve">      自然资源利用与保护</t>
  </si>
  <si>
    <t xml:space="preserve">      其他自然资源事务支出</t>
  </si>
  <si>
    <t xml:space="preserve">    气象事务</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</si>
  <si>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</si>
  <si>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</si>
  <si>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</si>
  <si>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</si>
  <si>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</si>
  <si>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农村危房改造</t>
  </si>
  <si>
    <t xml:space="preserve">      公共租赁住房</t>
  </si>
  <si>
    <t xml:space="preserve">      保障性租赁住房</t>
  </si>
  <si>
    <t xml:space="preserve">      其他保障性安居工程支出</t>
  </si>
  <si>
    <t xml:space="preserve">    住房改革支出</t>
  </si>
  <si>
    <t xml:space="preserve">      住房公积金</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</si>
  <si>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</si>
  <si>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</si>
  <si>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</si>
  <si>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</si>
  <si>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</si>
  <si>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</si>
  <si>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其他粮油物资事务支出</t>
  </si>
  <si>
    <t xml:space="preserve">    能源储备</t>
  </si>
  <si>
    <t xml:space="preserve">      其他能源储备支出</t>
  </si>
  <si>
    <t xml:space="preserve">    粮油储备</t>
  </si>
  <si>
    <t xml:space="preserve">      其他粮油储备支出</t>
  </si>
  <si>
    <t xml:space="preserve">    重要商品储备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</si>
  <si>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</si>
  <si>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</si>
  <si>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</si>
  <si>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</si>
  <si>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</si>
  <si>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</si>
  <si>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</si>
  <si>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</si>
  <si>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</si>
  <si>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</si>
  <si>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</si>
  <si>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</si>
  <si>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</si>
  <si>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其他矿山安全支出</t>
  </si>
  <si>
    <t xml:space="preserve">    地震事务</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</si>
  <si>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</si>
  <si>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</si>
  <si>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</si>
  <si>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</si>
  <si>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</si>
  <si>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</si>
  <si>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</si>
  <si>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</si>
  <si>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</si>
  <si>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</si>
  <si>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</si>
  <si>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</si>
  <si>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</si>
  <si>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</si>
  <si>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</si>
  <si>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</si>
  <si>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</si>
  <si>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</si>
  <si>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</si>
  <si>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</si>
  <si>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</si>
  <si>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</si>
  <si>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t>类级</t>
  </si>
  <si>
    <t>一般公共预算支出合计</t>
  </si>
  <si>
    <t>转移性支出</t>
  </si>
  <si>
    <t>（一）上解上级支出</t>
  </si>
  <si>
    <t>项级</t>
  </si>
  <si>
    <t>体制上解支出</t>
  </si>
  <si>
    <t>专项上解支出</t>
  </si>
  <si>
    <t>（二）补助下级支出</t>
  </si>
  <si>
    <t>（三）调出资金</t>
  </si>
  <si>
    <t>（四）债务转贷支出</t>
  </si>
  <si>
    <t>（五）地方政府一般债务还本支出</t>
  </si>
  <si>
    <t>（六）债务发行费用支出</t>
  </si>
  <si>
    <t>（七）援助其他地区支出</t>
  </si>
  <si>
    <t>（八）安排预算稳定调节基金</t>
  </si>
  <si>
    <t>（九）补充预算周转金</t>
  </si>
  <si>
    <t>（十）年终结余</t>
  </si>
  <si>
    <t>支出合计</t>
  </si>
  <si>
    <t>附件3</t>
  </si>
  <si>
    <t>雁山区一般公共预算2025年基本支出预算
（按政府预算支出经济分类科目）</t>
  </si>
  <si>
    <t>项目编码</t>
  </si>
  <si>
    <t>政府预算支出经济分类科目</t>
  </si>
  <si>
    <t>基本支出</t>
  </si>
  <si>
    <t>501</t>
  </si>
  <si>
    <t>机关工资福利支出</t>
  </si>
  <si>
    <t>50101</t>
  </si>
  <si>
    <t>工资奖金津补贴</t>
  </si>
  <si>
    <t>50102</t>
  </si>
  <si>
    <t>社会保障缴费</t>
  </si>
  <si>
    <t>50103</t>
  </si>
  <si>
    <t>住房公积金</t>
  </si>
  <si>
    <t>50199</t>
  </si>
  <si>
    <t>其他工资福利支出</t>
  </si>
  <si>
    <t>502</t>
  </si>
  <si>
    <t>机关商品和服务支出</t>
  </si>
  <si>
    <t>50201</t>
  </si>
  <si>
    <t>办公经费</t>
  </si>
  <si>
    <t>50202</t>
  </si>
  <si>
    <t>会议费</t>
  </si>
  <si>
    <t>50203</t>
  </si>
  <si>
    <t>培训费</t>
  </si>
  <si>
    <t>50204</t>
  </si>
  <si>
    <t>专用材料购置费</t>
  </si>
  <si>
    <t>50205</t>
  </si>
  <si>
    <t>委托业务费</t>
  </si>
  <si>
    <t>50206</t>
  </si>
  <si>
    <t>公务接待费</t>
  </si>
  <si>
    <t>50207</t>
  </si>
  <si>
    <t>因公出国（境）费用</t>
  </si>
  <si>
    <t>50208</t>
  </si>
  <si>
    <t>公务用车运行维护费</t>
  </si>
  <si>
    <t>50209</t>
  </si>
  <si>
    <t>维修（护）费</t>
  </si>
  <si>
    <t>50299</t>
  </si>
  <si>
    <t>其他商品和服务支出</t>
  </si>
  <si>
    <t>503</t>
  </si>
  <si>
    <t>机关资本性支出（一）</t>
  </si>
  <si>
    <t>50301</t>
  </si>
  <si>
    <t>房屋建筑物购建</t>
  </si>
  <si>
    <t>50302</t>
  </si>
  <si>
    <t>基础设施建设</t>
  </si>
  <si>
    <t>50303</t>
  </si>
  <si>
    <t>公务用车购置</t>
  </si>
  <si>
    <t>50305</t>
  </si>
  <si>
    <t>土地征迁补偿和安置支出</t>
  </si>
  <si>
    <t>50306</t>
  </si>
  <si>
    <t>设备购置</t>
  </si>
  <si>
    <t>50307</t>
  </si>
  <si>
    <t>大型修缮</t>
  </si>
  <si>
    <t>50399</t>
  </si>
  <si>
    <t>其他资本性支出</t>
  </si>
  <si>
    <t>504</t>
  </si>
  <si>
    <t>机关资本性支出（二）</t>
  </si>
  <si>
    <t>50401</t>
  </si>
  <si>
    <t>50402</t>
  </si>
  <si>
    <t>50403</t>
  </si>
  <si>
    <t>50404</t>
  </si>
  <si>
    <t>50405</t>
  </si>
  <si>
    <t>50499</t>
  </si>
  <si>
    <t>505</t>
  </si>
  <si>
    <t>对事业单位经常性补助</t>
  </si>
  <si>
    <t>50501</t>
  </si>
  <si>
    <t>工资福利支出</t>
  </si>
  <si>
    <t>50502</t>
  </si>
  <si>
    <t>商品和服务支出</t>
  </si>
  <si>
    <t>50599</t>
  </si>
  <si>
    <t>其他对事业单位补助</t>
  </si>
  <si>
    <t>506</t>
  </si>
  <si>
    <t>对事业单位资本性补助</t>
  </si>
  <si>
    <t>50601</t>
  </si>
  <si>
    <t>资本性支出（一）</t>
  </si>
  <si>
    <t>50602</t>
  </si>
  <si>
    <t>资本性支出（二）</t>
  </si>
  <si>
    <t>507</t>
  </si>
  <si>
    <t>对企业补助</t>
  </si>
  <si>
    <t>50701</t>
  </si>
  <si>
    <t>费用补贴</t>
  </si>
  <si>
    <t>50702</t>
  </si>
  <si>
    <t>利息补贴</t>
  </si>
  <si>
    <t>50799</t>
  </si>
  <si>
    <t>其他对企业补助</t>
  </si>
  <si>
    <t>509</t>
  </si>
  <si>
    <t>对个人和家庭的补助</t>
  </si>
  <si>
    <t>50901</t>
  </si>
  <si>
    <t>社会福利和救助</t>
  </si>
  <si>
    <t>50902</t>
  </si>
  <si>
    <t>助学金</t>
  </si>
  <si>
    <t>50903</t>
  </si>
  <si>
    <t>个人农业生产补贴</t>
  </si>
  <si>
    <t>50905</t>
  </si>
  <si>
    <t>离退休费</t>
  </si>
  <si>
    <t>50999</t>
  </si>
  <si>
    <t>其他对个人和家庭补助</t>
  </si>
  <si>
    <t>510</t>
  </si>
  <si>
    <t>对社会保障基金补助</t>
  </si>
  <si>
    <t>51002</t>
  </si>
  <si>
    <t>对社会保险基金补助</t>
  </si>
  <si>
    <t>51003</t>
  </si>
  <si>
    <t>补充全国社会保障基金</t>
  </si>
  <si>
    <t>51004</t>
  </si>
  <si>
    <t>对机关事业单位职业年金的补助</t>
  </si>
  <si>
    <t>511</t>
  </si>
  <si>
    <t>债务利息及费用支出</t>
  </si>
  <si>
    <t>51101</t>
  </si>
  <si>
    <t>国内债务付息</t>
  </si>
  <si>
    <t>51102</t>
  </si>
  <si>
    <t>国外债务付息</t>
  </si>
  <si>
    <t>51103</t>
  </si>
  <si>
    <t>国内债务发行费用</t>
  </si>
  <si>
    <t>51104</t>
  </si>
  <si>
    <t>国外债务发行费用</t>
  </si>
  <si>
    <t>512</t>
  </si>
  <si>
    <t>债务还本支出</t>
  </si>
  <si>
    <t>51201</t>
  </si>
  <si>
    <t>国内债务还本</t>
  </si>
  <si>
    <t>51202</t>
  </si>
  <si>
    <t>国外债务还本</t>
  </si>
  <si>
    <t>上下级政府间转移性支出</t>
  </si>
  <si>
    <t>514</t>
  </si>
  <si>
    <t>预备费及预留</t>
  </si>
  <si>
    <t>51401</t>
  </si>
  <si>
    <t>预备费</t>
  </si>
  <si>
    <t>51402</t>
  </si>
  <si>
    <t>预留</t>
  </si>
  <si>
    <t>999</t>
  </si>
  <si>
    <t>一般公共预算支出总计</t>
  </si>
  <si>
    <t>附件4</t>
  </si>
  <si>
    <t>雁山区政府性基金预算2025年收入预算（草案）</t>
  </si>
  <si>
    <t>项       目</t>
  </si>
  <si>
    <t>2023年完成数</t>
  </si>
  <si>
    <t>一、国家电影事业发展专项资金收入</t>
  </si>
  <si>
    <t>二、国有土地收益基金收入</t>
  </si>
  <si>
    <t>三、农业土地开发资金收入</t>
  </si>
  <si>
    <t>四、国有土地使用权出让收入</t>
  </si>
  <si>
    <t xml:space="preserve">    划拨土地收入</t>
  </si>
  <si>
    <t>五、大中型水库库区基金收入</t>
  </si>
  <si>
    <t>六、彩票公益金收入</t>
  </si>
  <si>
    <t>七、城市基础设施配套费收入</t>
  </si>
  <si>
    <t>八、小型水库移民扶助基金收入</t>
  </si>
  <si>
    <t>九、国家重大水利工程建设基金收入</t>
  </si>
  <si>
    <t>十、车辆通行费</t>
  </si>
  <si>
    <t>十一、污水处理费收入</t>
  </si>
  <si>
    <t>十二、彩票发行机构和彩票销售机构的业务费用</t>
  </si>
  <si>
    <t>十三、其他政府性基金收入</t>
  </si>
  <si>
    <t>十四、其他政府性基金专项债务对应项目专项收入</t>
  </si>
  <si>
    <t xml:space="preserve">        其他地方自行试点项目收益专项债券对应项目专项收入</t>
  </si>
  <si>
    <t>政府性基金预算收入合计</t>
  </si>
  <si>
    <t xml:space="preserve">  上级补助收入</t>
  </si>
  <si>
    <t xml:space="preserve">  上年结余收入</t>
  </si>
  <si>
    <t xml:space="preserve">  调入资金</t>
  </si>
  <si>
    <t xml:space="preserve">  地方政府专项债务转贷收入</t>
  </si>
  <si>
    <t xml:space="preserve">      其他地方自行试点项目收益专项债券收入</t>
  </si>
  <si>
    <t xml:space="preserve">      其他政府性基金债务转贷收入</t>
  </si>
  <si>
    <t>支出</t>
  </si>
  <si>
    <t>附件5</t>
  </si>
  <si>
    <t xml:space="preserve">  雁山区政府性基金预算2025年支出预算（草案）</t>
  </si>
  <si>
    <t>比2024年年初预算增减</t>
  </si>
  <si>
    <t>一、科学技术支出</t>
  </si>
  <si>
    <t xml:space="preserve">  核电站乏燃料处理处置基金支出</t>
  </si>
  <si>
    <t>二、文化旅游体育与传媒支出</t>
  </si>
  <si>
    <t xml:space="preserve">  国家电影事业发展专项资金安排的支出</t>
  </si>
  <si>
    <t xml:space="preserve">    其他国家电影事业发展专项资金支出</t>
  </si>
  <si>
    <t xml:space="preserve">  旅游发展基金支出</t>
  </si>
  <si>
    <t xml:space="preserve">    地方旅游开发项目补助</t>
  </si>
  <si>
    <t xml:space="preserve">    其他旅游发展基金支出</t>
  </si>
  <si>
    <t xml:space="preserve">  国家电影事业发展专项资金对应专项债务收入安排的支出</t>
  </si>
  <si>
    <t xml:space="preserve">    其他国家电影事业发展专项资金对应专项债务收入支出</t>
  </si>
  <si>
    <t>四、节能环保支出</t>
  </si>
  <si>
    <t xml:space="preserve">  可再生能源电价附加收入安排的支出</t>
  </si>
  <si>
    <t xml:space="preserve">  废弃电器电子产品处理基金支出</t>
  </si>
  <si>
    <t>五、城乡社区支出</t>
  </si>
  <si>
    <t xml:space="preserve">  国有土地使用权出让收入安排的支出</t>
  </si>
  <si>
    <t xml:space="preserve">      城市建设支出</t>
  </si>
  <si>
    <t xml:space="preserve">      农村基础设施建设支出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</si>
  <si>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</si>
  <si>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</si>
  <si>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</si>
  <si>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</si>
  <si>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</si>
  <si>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</si>
  <si>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其他城市基础设施配套费安排的支出</t>
  </si>
  <si>
    <t xml:space="preserve">  污水处理费安排的支出</t>
  </si>
  <si>
    <t xml:space="preserve">    其他污水处理费安排的支出</t>
  </si>
  <si>
    <t xml:space="preserve">  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</si>
  <si>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</si>
  <si>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</si>
  <si>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</si>
  <si>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</si>
  <si>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</si>
  <si>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农村基础设施建设支出</t>
  </si>
  <si>
    <t xml:space="preserve">    其他国有土地使用权出让收入对应专项债务收入安排的支出</t>
  </si>
  <si>
    <t>六、农林水支出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</si>
  <si>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</si>
  <si>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</si>
  <si>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</si>
  <si>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</si>
  <si>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</si>
  <si>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</si>
  <si>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基础设施建设和经济发展</t>
  </si>
  <si>
    <t xml:space="preserve">  小型水库移民扶助基金安排的支出</t>
  </si>
  <si>
    <t xml:space="preserve">  小型水库移民扶助基金对应专项债务收入安排的支出</t>
  </si>
  <si>
    <t>七、交通运输支出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</si>
  <si>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</si>
  <si>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</si>
  <si>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</si>
  <si>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</si>
  <si>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</si>
  <si>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</si>
  <si>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  </t>
  </si>
  <si>
    <t xml:space="preserve">  政府收费公路专项债券收入安排的支出  </t>
  </si>
  <si>
    <t xml:space="preserve">  港口建设费对应专项债务收入安排的支出  </t>
  </si>
  <si>
    <t>八、资源勘探工业信息等支出</t>
  </si>
  <si>
    <t xml:space="preserve">      制造业</t>
  </si>
  <si>
    <t>九、金融支出</t>
  </si>
  <si>
    <t>十、其他支出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</si>
  <si>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</si>
  <si>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</si>
  <si>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</si>
  <si>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</si>
  <si>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</si>
  <si>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</si>
  <si>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</si>
  <si>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</si>
  <si>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</si>
  <si>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</si>
  <si>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</si>
  <si>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</si>
  <si>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</si>
  <si>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</si>
  <si>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</si>
  <si>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</si>
  <si>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</si>
  <si>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</si>
  <si>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</si>
  <si>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十一、债务付息支出</t>
  </si>
  <si>
    <t xml:space="preserve">  地方政府专项债务付息支出</t>
  </si>
  <si>
    <t xml:space="preserve">    其他地方自行试点项目收益专项债券付息支出</t>
  </si>
  <si>
    <t>十二、债务发行费用支出</t>
  </si>
  <si>
    <t xml:space="preserve">  地方政府专项债务发行费用支出</t>
  </si>
  <si>
    <t xml:space="preserve">    其他地方自行试点项目收益专项债券发行费用支出</t>
  </si>
  <si>
    <t>十三、抗疫特别国债安排的支出</t>
  </si>
  <si>
    <t xml:space="preserve">  基础设施建设</t>
  </si>
  <si>
    <t xml:space="preserve">    其他基础设施建设</t>
  </si>
  <si>
    <t xml:space="preserve">  抗疫相关支出</t>
  </si>
  <si>
    <t xml:space="preserve">    其他抗疫相关支出</t>
  </si>
  <si>
    <t>政府性基金预算支出合计</t>
  </si>
  <si>
    <t>款级</t>
  </si>
  <si>
    <t>上解上级支出</t>
  </si>
  <si>
    <t>补助下级支出</t>
  </si>
  <si>
    <t>调出资金</t>
  </si>
  <si>
    <t>债务转贷支出</t>
  </si>
  <si>
    <t>年终结余</t>
  </si>
  <si>
    <t>附件6</t>
  </si>
  <si>
    <t>雁山区2025年社会保险基金收入预算表（草案）</t>
  </si>
  <si>
    <t>社会保险基金收入合计</t>
  </si>
  <si>
    <t>（一）企业职工基本养老保险基金收入</t>
  </si>
  <si>
    <t>（二）机关事业单位基本养老保险基金收入</t>
  </si>
  <si>
    <t>（三）城乡居民基本养老保险基金收入</t>
  </si>
  <si>
    <t>（四）城镇职工基本医疗保险基金（包含生育保险）收入</t>
  </si>
  <si>
    <t>（五）城乡居民基本医疗保险基金收入</t>
  </si>
  <si>
    <t>（六）工伤保险基金收入</t>
  </si>
  <si>
    <t>（七）失业保险基金收入</t>
  </si>
  <si>
    <t>附件7</t>
  </si>
  <si>
    <t>雁山区2025年社会保险基金支出预算表（草案）</t>
  </si>
  <si>
    <t>调整预算</t>
  </si>
  <si>
    <t>一、社会保险基金支出合计</t>
  </si>
  <si>
    <t>（一）企业职工基本养老保险基金支出</t>
  </si>
  <si>
    <t>（二）机关事业单位基本养老保险基金支出</t>
  </si>
  <si>
    <t>（三）城乡居民基本养老保险基金支出</t>
  </si>
  <si>
    <t>（四）城镇职工基本医疗保险基金（包含生育保险）支出</t>
  </si>
  <si>
    <t>（五）城乡居民基本医疗保险基金支出</t>
  </si>
  <si>
    <t>（六）工伤保险基金支出</t>
  </si>
  <si>
    <t>（七）失业保险基金支出</t>
  </si>
  <si>
    <t>二、社会保险基金本年收支结余合计</t>
  </si>
  <si>
    <t>全区社会保险基金年末滚存结余合计</t>
  </si>
  <si>
    <t>（一）企业职工基本养老保险基金本年收支结余</t>
  </si>
  <si>
    <t xml:space="preserve">     企业职工基本养老保险基金年末滚存结余</t>
  </si>
  <si>
    <t>（二）机关事业单位基本养老保险基金本年收支结余</t>
  </si>
  <si>
    <t xml:space="preserve">     机关事业单位基本养老保险基金年末滚存结余</t>
  </si>
  <si>
    <t>（三）城乡居民基本养老保险基金本年收支结余</t>
  </si>
  <si>
    <t xml:space="preserve">     城乡居民基本养老保险基金年末滚存结余</t>
  </si>
  <si>
    <t>（四）城镇职工基本医疗保险基金（包含生育保险）本年收支结余</t>
  </si>
  <si>
    <t xml:space="preserve">     城镇职工基本医疗保险基金（包含生育保险）年末滚存结余</t>
  </si>
  <si>
    <t>（五）城乡居民基本医疗保险基金本年收支结余</t>
  </si>
  <si>
    <t xml:space="preserve">     城乡居民基本医疗保险基金年末滚存结余</t>
  </si>
  <si>
    <t>（六）工伤保险基金本年收支结余</t>
  </si>
  <si>
    <t xml:space="preserve">     工伤保险基金年末滚存结余</t>
  </si>
  <si>
    <t>（七）失业保险基金本年收支结余</t>
  </si>
  <si>
    <t xml:space="preserve">     失业保险基金年末滚存结余</t>
  </si>
  <si>
    <t>附件8</t>
  </si>
  <si>
    <t>雁山区2025年项目支出（部门预算）绩效目标表（草案）</t>
  </si>
  <si>
    <t>序号</t>
  </si>
  <si>
    <t>单位名称</t>
  </si>
  <si>
    <t>项目名称</t>
  </si>
  <si>
    <t>年度绩效目标</t>
  </si>
  <si>
    <t>一般公共预算拨款</t>
  </si>
  <si>
    <t>桂林市雁山区教育局</t>
  </si>
  <si>
    <t>学前教育幼儿资助</t>
  </si>
  <si>
    <t>对符合资助政策的学前教育阶段家庭经济困难在园幼儿100％免除保教费。</t>
  </si>
  <si>
    <t>家庭经济困难学生生活补助——小学</t>
  </si>
  <si>
    <t>对符合资助政策的义务教育阶段家庭经济困难学生100％发放生活费补助，受助学生满意度大于等于85％。</t>
  </si>
  <si>
    <t>家庭经济困难学生生活补助——初中</t>
  </si>
  <si>
    <t>农村义务教育学生营养改善计划</t>
  </si>
  <si>
    <t>辖区内营养改善实施学校所有在校学生100％受益，家长和学生满意度≥85％</t>
  </si>
  <si>
    <t>桂林市雁山区文化体育和旅游局</t>
  </si>
  <si>
    <t>博物馆、纪念馆免费开放补助和公共美术馆、图书馆、文化馆（站）免费开放补助</t>
  </si>
  <si>
    <t>共文化基础设施场所免费开放项目是 2025年自治区人民政府为民办实事文化惠民工程，写入了自治区政府工作报告，是今年对市、县两级政府绩效考评重要内容之一。2025年免费开放雁山区本级补助资金6万元。</t>
  </si>
  <si>
    <t>桂林市雁山区社会保险事业管理中心</t>
  </si>
  <si>
    <t>城乡居民基本养老保险</t>
  </si>
  <si>
    <t>保障城乡居民基本养老保险发放</t>
  </si>
  <si>
    <t>困难缴费群体及计生对象政府代缴城居保参保费补助</t>
  </si>
  <si>
    <t>对符合政策的困难缴费群体及计生对象政府代缴城居保参保费补助</t>
  </si>
  <si>
    <t>城乡居民基本养老保险政府代缴补助</t>
  </si>
  <si>
    <t>对符合政策的困难缴费群体及计生对象政府代缴养老保险参保费补助</t>
  </si>
  <si>
    <t>桂林市雁山区民政局</t>
  </si>
  <si>
    <t>老年人福利补贴</t>
  </si>
  <si>
    <t>按时发放补助</t>
  </si>
  <si>
    <t>桂林市雁山区退役军人事务局</t>
  </si>
  <si>
    <t>义务兵家庭优待金</t>
  </si>
  <si>
    <t>鼓励适龄青年和高校在校生积极报名应征入伍</t>
  </si>
  <si>
    <t>退役安置支出</t>
  </si>
  <si>
    <t>通过为自主就业退役士兵发放一次性经济补助，为他们就业创业提供一定的资金支持，引导自主就业退役士兵积极投身“大众创业、万众创新”实践，更好实现退役军人自身价值，助推经济社会发展。</t>
  </si>
  <si>
    <t>城乡居民基本医疗保险——优抚对象</t>
  </si>
  <si>
    <t>按照市财政局、市医保局相关文件要求，及时足额归集城乡居民基本医疗保险补助资金，保障参保人员应保尽保。</t>
  </si>
  <si>
    <t>桂林市雁山区卫生健康局</t>
  </si>
  <si>
    <t>城乡居民基本医疗保险——计生家庭医疗保险</t>
  </si>
  <si>
    <t>基本公共卫生服务</t>
  </si>
  <si>
    <t>保障基本公卫经费按时拨付</t>
  </si>
  <si>
    <t>广西农村计划生育家庭奖励扶助</t>
  </si>
  <si>
    <t>落实计划生育奖励扶助制度，年内完成为计划生育家庭对象发放奖励扶助金，及时兑现奖励扶助政策。</t>
  </si>
  <si>
    <t>城镇居民独生子女父母年老奖励</t>
  </si>
  <si>
    <t>保障农村独生子女保健费及时发放</t>
  </si>
  <si>
    <t>医保局桂林市雁山分局</t>
  </si>
  <si>
    <t>城乡医疗救助</t>
  </si>
  <si>
    <t>对符合政策的城乡居民提供医疗救助补助</t>
  </si>
  <si>
    <t>城乡居民基本医疗保险</t>
  </si>
  <si>
    <t>对符合政策的困难缴费群体政府代缴医疗保险参保费补助</t>
  </si>
  <si>
    <t>中央困难群众救助补助资金</t>
  </si>
  <si>
    <t>用于低保、特困、临时救助、孤儿和事实无人抚养儿童补贴、残疾人两项补贴等支出</t>
  </si>
  <si>
    <t>自治区困难群众救助补助资金项目</t>
  </si>
  <si>
    <t>桂林市雁山区就业服务中心</t>
  </si>
  <si>
    <t>中央就业补助资金</t>
  </si>
  <si>
    <t>公益性岗位工资和社保补助</t>
  </si>
  <si>
    <t>自治区就业补助资金</t>
  </si>
  <si>
    <t>中央优抚对象补助经费</t>
  </si>
  <si>
    <t>有效保障优抚对象等人员的基本生活，体现对该群体的社会尊崇</t>
  </si>
  <si>
    <t>桂林市雁山区人社局</t>
  </si>
  <si>
    <t>劳务派遣人员工资及其他福利支出</t>
  </si>
  <si>
    <t>中国共产党桂林市雁山区委员会组织部</t>
  </si>
  <si>
    <t>雁山区驻村队员工作经费</t>
  </si>
  <si>
    <t>保障雁山区驻村队员工作</t>
  </si>
  <si>
    <t>公办幼儿园生均公用经费</t>
  </si>
  <si>
    <t>保障公办幼儿园的日常运转，改善办园条件，提高保教质量。</t>
  </si>
  <si>
    <t>桂林市雁山区农业农村局</t>
  </si>
  <si>
    <t>水稻保险</t>
  </si>
  <si>
    <t>区本级政策性农业保险补助</t>
  </si>
  <si>
    <t>桂林市雁山区动物疫病预防控制中心</t>
  </si>
  <si>
    <t>能繁母猪、育肥猪养殖保险</t>
  </si>
  <si>
    <t>桂林市雁山区林业技术推广站</t>
  </si>
  <si>
    <t>公益林保险</t>
  </si>
  <si>
    <t>桂林市雁山区乡村振兴局</t>
  </si>
  <si>
    <t>区本级配套财政衔接资金</t>
  </si>
  <si>
    <t>保障农村产业发展和基础设施建设</t>
  </si>
  <si>
    <t>桂林市雁山区民族宗教事务局</t>
  </si>
  <si>
    <t>桂林市雁山区人民代表大会常务委员会办公室</t>
  </si>
  <si>
    <t>人大会议经费</t>
  </si>
  <si>
    <t>年度内完成召开</t>
  </si>
  <si>
    <t>人大代表活动经费</t>
  </si>
  <si>
    <t>保障人大代表活动经费</t>
  </si>
  <si>
    <t>中国人民政治协商会议桂林市雁山区委员会办公室</t>
  </si>
  <si>
    <t>政协会议经费</t>
  </si>
  <si>
    <t>政协委员活动经费</t>
  </si>
  <si>
    <t>保障政协代表活动经费</t>
  </si>
  <si>
    <t>漓江畔的中国传统村落</t>
  </si>
  <si>
    <t>完成漓江畔的中国传统村落活动</t>
  </si>
  <si>
    <t>中共桂林市雁山区委办公室</t>
  </si>
  <si>
    <t>区委会议经费</t>
  </si>
  <si>
    <t>区委办办公经费</t>
  </si>
  <si>
    <t>购买办公用品经费</t>
  </si>
  <si>
    <t>广西党政专用通信“十四五”配套工程项目经费</t>
  </si>
  <si>
    <t>完成广西党政专用通信“十四五”配套工程项目建设</t>
  </si>
  <si>
    <t>建设国家安全主题公园经费</t>
  </si>
  <si>
    <t>完成国家安全主题公园建设</t>
  </si>
  <si>
    <t>桂林市雁山区人民政府办公室</t>
  </si>
  <si>
    <t>春节慰问</t>
  </si>
  <si>
    <t>顺利完成春节慰问一线工作人员工作。</t>
  </si>
  <si>
    <t>通讯网络运行和大数据管理服务费</t>
  </si>
  <si>
    <t>通讯网络运行和大数据管理服务费，保障工作正常运行</t>
  </si>
  <si>
    <t>《雁山年鉴（2023）》及《雁山年鉴（2024）》出版印刷经费</t>
  </si>
  <si>
    <t>桂林市雁山区后勤服务中心</t>
  </si>
  <si>
    <t>创服大楼水电费</t>
  </si>
  <si>
    <t>创服大楼网络、固话、177号段通讯费</t>
  </si>
  <si>
    <t>创服大楼、广场维护维修费</t>
  </si>
  <si>
    <t>食堂经费</t>
  </si>
  <si>
    <t>政府综合接待</t>
  </si>
  <si>
    <t>接待费</t>
  </si>
  <si>
    <t>政府财务室办公经费（会计系统维护费）</t>
  </si>
  <si>
    <t>政府财务室办公经费（凭证、档案盒等）</t>
  </si>
  <si>
    <t>购买办公设备经费(社工部和世旅局购买办公设备经费)</t>
  </si>
  <si>
    <t>公务车辆采购经费</t>
  </si>
  <si>
    <t>完成公务车辆采购</t>
  </si>
  <si>
    <t>桂林市雁山区发展和改革局</t>
  </si>
  <si>
    <t>人防疏散地域建设经费</t>
  </si>
  <si>
    <t>建设人防疏散地域</t>
  </si>
  <si>
    <t>雁山区生态移民发展中心</t>
  </si>
  <si>
    <t>白竹境水库粮差补助</t>
  </si>
  <si>
    <t>按时拨付</t>
  </si>
  <si>
    <t>五龙水库粮差补助</t>
  </si>
  <si>
    <t>完成绩效目标</t>
  </si>
  <si>
    <t>雁山区统计</t>
  </si>
  <si>
    <t>人口变动抽样调查工作经费</t>
  </si>
  <si>
    <t>完成人口变动抽样调查工作</t>
  </si>
  <si>
    <t>第五次全国经济普查经费</t>
  </si>
  <si>
    <t>完成第五次全国经济普查工作</t>
  </si>
  <si>
    <t>劳动工资抽样调查统计工作经费</t>
  </si>
  <si>
    <t>完成劳动工资抽样调查统计工作</t>
  </si>
  <si>
    <t>贸易统计调查工作经费</t>
  </si>
  <si>
    <t>完成贸易统计调查工作</t>
  </si>
  <si>
    <t>住户调查记账工作经费</t>
  </si>
  <si>
    <t>完成住户调查记账工作</t>
  </si>
  <si>
    <t>桂林市雁山区财政局</t>
  </si>
  <si>
    <t>全区财政系统运营维护费</t>
  </si>
  <si>
    <t>全区财政系统正常运营使用</t>
  </si>
  <si>
    <t>一事一议项目资金</t>
  </si>
  <si>
    <t>完成我区今年一事一议相关工作</t>
  </si>
  <si>
    <t>“桂惠贷”贴息</t>
  </si>
  <si>
    <t>按时拨付贴息</t>
  </si>
  <si>
    <t>财税宣传经费</t>
  </si>
  <si>
    <t>完成财税宣传工作</t>
  </si>
  <si>
    <t>历年各单位拖欠财评费用</t>
  </si>
  <si>
    <t>完成历年各单位拖欠财评费用支付</t>
  </si>
  <si>
    <t>2024年非税回拨资金（自然资源局）</t>
  </si>
  <si>
    <t>雁山区城镇公益性岗位人员工伤保险</t>
  </si>
  <si>
    <t>对符合政策的雁山区城镇公益性岗位人员缴纳工伤保险</t>
  </si>
  <si>
    <t>桂林市雁山区商务投资促进局</t>
  </si>
  <si>
    <t>促销费活动消费券补贴经费</t>
  </si>
  <si>
    <t>2025年12月31日前完成。</t>
  </si>
  <si>
    <t>桂林市雁山区城市管理局</t>
  </si>
  <si>
    <t>城管局劳动争议纠纷律师费</t>
  </si>
  <si>
    <t>城管部门预算增量</t>
  </si>
  <si>
    <t>桂林市雁山区工信局</t>
  </si>
  <si>
    <t>工信局非税回拨（2022年园区水泵房征收补偿款）</t>
  </si>
  <si>
    <t>桂林市雁山区应急管理局</t>
  </si>
  <si>
    <t>森林消防队工作经费</t>
  </si>
  <si>
    <t>完成森林消防队工作</t>
  </si>
  <si>
    <t>2022年度森林防火大比武经费</t>
  </si>
  <si>
    <t>完成2022年度森林防火大比武</t>
  </si>
  <si>
    <t>2022年度森林防灭火大练兵大比武经费</t>
  </si>
  <si>
    <t>完成2022年度森林防灭火大练兵大比武</t>
  </si>
  <si>
    <t>八桂应急先锋比武集训经费</t>
  </si>
  <si>
    <t>完成八桂应急先锋比武集训工作</t>
  </si>
  <si>
    <t>第一次全国自然灾害综合风险普查工作经费</t>
  </si>
  <si>
    <t>完成第一次全国自然灾害综合风险普查工作</t>
  </si>
  <si>
    <t>区安委办、应急办、防汛办、减灾办、防火办等5个办公室工作经费（非税回拨）</t>
  </si>
  <si>
    <t>区安委办、应急办、防汛办、减灾办、防火办等5个办公室工作经费</t>
  </si>
  <si>
    <t>森林防灭火信息系统经费</t>
  </si>
  <si>
    <t>完成森林防灭火信息系统建设</t>
  </si>
  <si>
    <t>综合行政执法制服标志经费</t>
  </si>
  <si>
    <t>购买综合行政执法制服标志</t>
  </si>
  <si>
    <t>桂林市雁山区住房和城乡建设局</t>
  </si>
  <si>
    <t>第一次全国自然灾害综合风险普查房屋建筑和市政设施调查数据采集服务费用</t>
  </si>
  <si>
    <t>完成第一次全国自然灾害综合风险普查房屋建筑和市政设施调查数据采集服务</t>
  </si>
  <si>
    <t>中国共产党委员会社会工作部</t>
  </si>
  <si>
    <t>完成春节慰问</t>
  </si>
  <si>
    <t>桂林市雁山区交通运输局</t>
  </si>
  <si>
    <t>草坪明村渡工补助</t>
  </si>
  <si>
    <t>按时发放草坪明村渡工补助</t>
  </si>
  <si>
    <t>交通项目前期经费</t>
  </si>
  <si>
    <t>完成交通项目前期工作</t>
  </si>
  <si>
    <t>农村公路日常养护经费</t>
  </si>
  <si>
    <t>完成农村公路日常养护工作</t>
  </si>
  <si>
    <t>农村公路承灾体普查工作经费</t>
  </si>
  <si>
    <t>完成农村公路承灾体普查工作</t>
  </si>
  <si>
    <t>2021年1-6月非税收入用于交通行业大排查大整治、安全生产月等日常工作经费</t>
  </si>
  <si>
    <t>完成交通行业大排查大整治、安全生产月等日常工作</t>
  </si>
  <si>
    <t>大圩至草坪公路项目工程造价鉴定费</t>
  </si>
  <si>
    <t>完成大圩至草坪公路项目工程造价鉴定工作</t>
  </si>
  <si>
    <t>李家至良丰公路工程案件诉讼费和律师费</t>
  </si>
  <si>
    <t>完成李家至良丰公路工程案件诉讼案件工作</t>
  </si>
  <si>
    <t>雁山镇玉圭园至园博园公路（良丰一队至园博园大道段）项目森林植被恢复费</t>
  </si>
  <si>
    <t>桂林市雁山区环境保护委员会</t>
  </si>
  <si>
    <t>畜禽养殖污染防治规划编制费用</t>
  </si>
  <si>
    <t>完成畜禽养殖污染防治规划编制</t>
  </si>
  <si>
    <t>党建宣传工作经费</t>
  </si>
  <si>
    <t>党建宣传工作</t>
  </si>
  <si>
    <t>科级干部学习贯彻党的二十届三中全会精神专题培训班经费</t>
  </si>
  <si>
    <t>完成科级干部学习贯彻党的二十届三中全会精神专题培训班</t>
  </si>
  <si>
    <t>网络安全工作经费</t>
  </si>
  <si>
    <t>完成网络安全工作</t>
  </si>
  <si>
    <t>雁山区关心下一代工作委员会工作经费</t>
  </si>
  <si>
    <t>完成雁山区关心下一代工作委员会工作</t>
  </si>
  <si>
    <t>党建领导小组工作经费</t>
  </si>
  <si>
    <t>完成党建领导小组工作</t>
  </si>
  <si>
    <t>党员远程教育工作经费</t>
  </si>
  <si>
    <t>完成党员远程教育工作</t>
  </si>
  <si>
    <t>高层次人才奖励经费</t>
  </si>
  <si>
    <t>发放高层次人才奖励</t>
  </si>
  <si>
    <t>中国共产党桂林市雁山区委员会宣传部</t>
  </si>
  <si>
    <t>桂林雁山国家级旅游度假区成功创建相关宣传费用</t>
  </si>
  <si>
    <t>完成桂林雁山国家级旅游度假区成功创建相关宣传工作</t>
  </si>
  <si>
    <t>中共桂林市雁山区委员会统一战线工作部</t>
  </si>
  <si>
    <t>区新联会换届工作经费</t>
  </si>
  <si>
    <t>完成区新联会换届工作</t>
  </si>
  <si>
    <t>中国共产党桂林市雁山区纪律检查委员会</t>
  </si>
  <si>
    <t>区纪委监委内网迁移和视频会商系统建设项目剩余款项</t>
  </si>
  <si>
    <t>完成区纪委监委内网迁移和视频会商系统建设项目</t>
  </si>
  <si>
    <t>雁山区纪检监察机关办公设备和办案设备采购经费</t>
  </si>
  <si>
    <t>采购雁山区纪检监察机关办公设备和办案设备</t>
  </si>
  <si>
    <t>桂林市雁山区监察委员会</t>
  </si>
  <si>
    <t>雁山区监察委员会工作经费</t>
  </si>
  <si>
    <t>完成雁山区监察委员会日常工作</t>
  </si>
  <si>
    <t>桂林市雁山区信访局</t>
  </si>
  <si>
    <t>信访局驻京驻邕经费</t>
  </si>
  <si>
    <t>完成信访局驻京驻邕工作</t>
  </si>
  <si>
    <t>中国共产党桂林市雁山区委员会政法委员会</t>
  </si>
  <si>
    <t>非法吸收公众存款案资产评估费用</t>
  </si>
  <si>
    <t>完成非法吸收公众存款案资产评估</t>
  </si>
  <si>
    <t>禁毒工作经费</t>
  </si>
  <si>
    <t>完成禁毒工作</t>
  </si>
  <si>
    <t>桂林市雁山区司法局</t>
  </si>
  <si>
    <t>社区矫正人员管理工作经费</t>
  </si>
  <si>
    <t>完成社区矫正人员管理工作</t>
  </si>
  <si>
    <t>桂林市雁山区总工会</t>
  </si>
  <si>
    <t>劳模津贴</t>
  </si>
  <si>
    <t>保障劳模津贴的全额发放。</t>
  </si>
  <si>
    <t>桂林市雁山区妇女联合会</t>
  </si>
  <si>
    <t>“三八”妇女节活动经费</t>
  </si>
  <si>
    <t>完成“三八”妇女节活动</t>
  </si>
  <si>
    <t>“六一”儿童节慰问活动经费</t>
  </si>
  <si>
    <t>完成“六一”儿童节慰问活动</t>
  </si>
  <si>
    <t>草坪籍学生交通补助</t>
  </si>
  <si>
    <t>发放草坪籍学生交通补助</t>
  </si>
  <si>
    <t>乡村教师生活补贴</t>
  </si>
  <si>
    <t>发放乡村教师生活补贴</t>
  </si>
  <si>
    <t>中小学、幼儿园保安工资</t>
  </si>
  <si>
    <t>发放中小学、幼儿园保安工资</t>
  </si>
  <si>
    <t>国家义务教育质量检测</t>
  </si>
  <si>
    <t>质量监测结果分析两场，每场8000元，工具邮寄费用4000元，合计20000元。</t>
  </si>
  <si>
    <t>实施营养改善计划试点学校食堂人员经费</t>
  </si>
  <si>
    <t>完成营养改善计划试点学校工作</t>
  </si>
  <si>
    <t>雁山区教育系统教职工体检经费</t>
  </si>
  <si>
    <t>完成雁山区教育系统教职工体检工作</t>
  </si>
  <si>
    <t>督学经费</t>
  </si>
  <si>
    <t>完成督学工作</t>
  </si>
  <si>
    <t>教师培训</t>
  </si>
  <si>
    <t>举办教师培训</t>
  </si>
  <si>
    <t>雁山区特岗教师招聘笔试工作人员经费预算</t>
  </si>
  <si>
    <t>完成雁山区特岗教师招聘笔试工作</t>
  </si>
  <si>
    <t>班级管理费</t>
  </si>
  <si>
    <t>完成班级管理工作</t>
  </si>
  <si>
    <t>桂林市雁山区草坪回族乡中心幼儿园</t>
  </si>
  <si>
    <t>回拨幼儿园2024年春季学期非税收入</t>
  </si>
  <si>
    <t>保障幼儿园日常办公工作</t>
  </si>
  <si>
    <t>桂林市雁山区柘木镇中心幼儿园</t>
  </si>
  <si>
    <t>回拨幼儿园2024年非税（保教费）</t>
  </si>
  <si>
    <t>春节、六一、重阳慰问</t>
  </si>
  <si>
    <t>完成春节、六一、重阳慰问</t>
  </si>
  <si>
    <t>开展地名普查成果转化购买服务项目的经费</t>
  </si>
  <si>
    <t>完成地名普查成果转化购买服务项目</t>
  </si>
  <si>
    <t>2020年非税收入返还</t>
  </si>
  <si>
    <t>保障日常办公工作</t>
  </si>
  <si>
    <t>雁山街78号“星光之家”房屋装修补偿款</t>
  </si>
  <si>
    <t>拨付雁山街78号“星光之家”房屋装修补偿款</t>
  </si>
  <si>
    <t>桂林市雁山区残联</t>
  </si>
  <si>
    <t>完成春节慰问工作</t>
  </si>
  <si>
    <t>农村独生子女保健费</t>
  </si>
  <si>
    <t>乡村医生养老生活补助</t>
  </si>
  <si>
    <t>保障60岁及以上乡村医生养老生活补助发放</t>
  </si>
  <si>
    <t>免费婚前医学检查、孕前优生检查配套经费</t>
  </si>
  <si>
    <t>保障免费婚检支出</t>
  </si>
  <si>
    <t>原村级妇幼保健员（家庭接生员）养老生活补助</t>
  </si>
  <si>
    <t>发放原村级妇幼保健员（家庭接生员）养老生活补助</t>
  </si>
  <si>
    <t>村卫生室基本药物补助</t>
  </si>
  <si>
    <t>发放村卫生室基本药物补助</t>
  </si>
  <si>
    <t>艾滋病攻坚工程地方配套经费</t>
  </si>
  <si>
    <t>完成艾滋病攻坚工程地方配套经费</t>
  </si>
  <si>
    <t>桂林市计生特殊家庭奖励扶助</t>
  </si>
  <si>
    <t>发放桂林市计生特殊家庭奖励扶助</t>
  </si>
  <si>
    <t>2021-2025年机关干部体检经费</t>
  </si>
  <si>
    <t>完成2021-2025年机关干部体检</t>
  </si>
  <si>
    <t>2023-2025年预防性体检费</t>
  </si>
  <si>
    <t>完成2023-2025年预防性体检费</t>
  </si>
  <si>
    <t>病媒生物防制工作经费</t>
  </si>
  <si>
    <t>完成病媒生物防制工作</t>
  </si>
  <si>
    <t>雁山区乡村医生“乡聘村用”经费</t>
  </si>
  <si>
    <t>发放雁山区乡村医生“乡聘村用”补助</t>
  </si>
  <si>
    <t>2022年市主城区三次免费核酸检测费</t>
  </si>
  <si>
    <t>拨付2022年市主城区三次免费核酸检测</t>
  </si>
  <si>
    <t>乡镇卫生院全科医生津贴</t>
  </si>
  <si>
    <t>2022-2023年非税收入返还</t>
  </si>
  <si>
    <t>日常办公用品购置</t>
  </si>
  <si>
    <t>桂林市雁山区人民医院良丰分院</t>
  </si>
  <si>
    <t>非税回拨（围墙拆迁补偿款）</t>
  </si>
  <si>
    <t>完成中医院建设</t>
  </si>
  <si>
    <t>雁山区市场监督管理局</t>
  </si>
  <si>
    <t>新办企业公章刻制费</t>
  </si>
  <si>
    <t>对符合政策的新办企业公章刻制补助</t>
  </si>
  <si>
    <t>非税回拨收入（创四星所建设）</t>
  </si>
  <si>
    <t>完成四星所建设工作</t>
  </si>
  <si>
    <t>企业军转干部困难补助</t>
  </si>
  <si>
    <t>落实国家有关企业军转干部政策，通过逐年增发生活困难补助方式，解决企业军转干部生活困难，不断提升企业军转干部的获得感、幸福感、荣誉感，更好地共享改革发展成果。</t>
  </si>
  <si>
    <t>在乡复员军人补助本级配套</t>
  </si>
  <si>
    <t>落实国家有关政策，通过发放补助方式，解决复员军人生活困难，不断提升他们的获得感、幸福感、荣誉感，更好地共享改革发展成果。</t>
  </si>
  <si>
    <t>增发大学生一次性鼓励金</t>
  </si>
  <si>
    <t>根据《桂林市人民政府中国人民解放军桂林警备区关于进一步做好士兵优待工作的意见》（市政规〔2021〕9号），对大学毕业生入伍义务兵发放一次性鼓励金，相关经费由市财政保障，按时拨付。</t>
  </si>
  <si>
    <t>拥军优属春节慰问</t>
  </si>
  <si>
    <t>进行拥军优属春节慰问</t>
  </si>
  <si>
    <t>退役军人事务系统信息化建设经费</t>
  </si>
  <si>
    <t>完成退役军人事务系统信息化建设</t>
  </si>
  <si>
    <t>非税回拨（2023年渔政行政处罚）</t>
  </si>
  <si>
    <t>农业局日常办公用品购置</t>
  </si>
  <si>
    <t>林长制工作经费</t>
  </si>
  <si>
    <t>林长办日常办公用品购置</t>
  </si>
  <si>
    <t>2023年非税回拨</t>
  </si>
  <si>
    <t>桂林市雁山区水利局</t>
  </si>
  <si>
    <t>四乡镇水库值班人员和下游村庄铜锣手值班补助</t>
  </si>
  <si>
    <t>雁山区水网建设规划编制费</t>
  </si>
  <si>
    <t>完成雁山区水网建设规划编制工作</t>
  </si>
  <si>
    <t>水利局非税回拨（2018年至2023年上缴非税）</t>
  </si>
  <si>
    <t>水利局日常办公用品购置</t>
  </si>
  <si>
    <t>桂林市雁山区水利电力工程站</t>
  </si>
  <si>
    <t>白竹境水库管护人员工资及社保</t>
  </si>
  <si>
    <t>农村饮水安全工程县域统管经费</t>
  </si>
  <si>
    <t>完成农村饮水安全工程县域统管工作</t>
  </si>
  <si>
    <t>春节、中秋节慰问脱贫户工作经费</t>
  </si>
  <si>
    <t>完成春节、中秋节慰问脱贫户工作</t>
  </si>
  <si>
    <t>乡村振兴工作经费</t>
  </si>
  <si>
    <t>乡村振兴工作日常办公经费</t>
  </si>
  <si>
    <t>桂林市雁山区草坪回族乡人民政府</t>
  </si>
  <si>
    <t>草坪回族乡40周年乡庆经费</t>
  </si>
  <si>
    <t>完成草坪回族乡40周年乡庆工作</t>
  </si>
</sst>
</file>

<file path=xl/styles.xml><?xml version="1.0" encoding="utf-8"?>
<styleSheet xmlns="http://schemas.openxmlformats.org/spreadsheetml/2006/main">
  <numFmts count="13">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 \ 0"/>
    <numFmt numFmtId="178" formatCode="#,##0.0_ "/>
    <numFmt numFmtId="41" formatCode="_ * #,##0_ ;_ * \-#,##0_ ;_ * &quot;-&quot;_ ;_ @_ "/>
    <numFmt numFmtId="179" formatCode="#,##0.00_ "/>
    <numFmt numFmtId="180" formatCode="0_ "/>
    <numFmt numFmtId="181" formatCode="[=0]&quot;- &quot;;General"/>
    <numFmt numFmtId="182" formatCode="0.00_ "/>
    <numFmt numFmtId="183" formatCode="0.0%"/>
    <numFmt numFmtId="184" formatCode="0.0_ "/>
  </numFmts>
  <fonts count="50">
    <font>
      <sz val="11"/>
      <color theme="1"/>
      <name val="宋体"/>
      <charset val="134"/>
      <scheme val="minor"/>
    </font>
    <font>
      <b/>
      <sz val="11"/>
      <color theme="1"/>
      <name val="宋体"/>
      <charset val="134"/>
      <scheme val="minor"/>
    </font>
    <font>
      <sz val="20"/>
      <color theme="1"/>
      <name val="方正小标宋_GBK"/>
      <charset val="134"/>
    </font>
    <font>
      <b/>
      <sz val="10"/>
      <color indexed="8"/>
      <name val="宋体"/>
      <charset val="134"/>
    </font>
    <font>
      <sz val="10"/>
      <name val="Arial"/>
      <charset val="134"/>
    </font>
    <font>
      <sz val="10"/>
      <color theme="1"/>
      <name val="宋体"/>
      <charset val="134"/>
      <scheme val="minor"/>
    </font>
    <font>
      <sz val="10"/>
      <name val="宋体"/>
      <charset val="134"/>
    </font>
    <font>
      <sz val="11"/>
      <name val="Times New Roman"/>
      <charset val="0"/>
    </font>
    <font>
      <sz val="10"/>
      <color indexed="8"/>
      <name val="宋体"/>
      <charset val="134"/>
    </font>
    <font>
      <sz val="10"/>
      <name val="宋体"/>
      <charset val="134"/>
      <scheme val="minor"/>
    </font>
    <font>
      <sz val="10"/>
      <color theme="1"/>
      <name val="宋体"/>
      <charset val="134"/>
    </font>
    <font>
      <sz val="10"/>
      <color rgb="FF333333"/>
      <name val="宋体"/>
      <charset val="134"/>
    </font>
    <font>
      <sz val="11"/>
      <name val="Times New Roman"/>
      <charset val="134"/>
    </font>
    <font>
      <sz val="10"/>
      <color rgb="FF000000"/>
      <name val="宋体"/>
      <charset val="134"/>
    </font>
    <font>
      <sz val="9"/>
      <name val="SimSun"/>
      <charset val="134"/>
    </font>
    <font>
      <sz val="12"/>
      <name val="宋体"/>
      <charset val="134"/>
    </font>
    <font>
      <b/>
      <sz val="24"/>
      <name val="宋体"/>
      <charset val="134"/>
    </font>
    <font>
      <b/>
      <sz val="22"/>
      <name val="宋体"/>
      <charset val="134"/>
    </font>
    <font>
      <b/>
      <sz val="11"/>
      <name val="宋体"/>
      <charset val="134"/>
    </font>
    <font>
      <b/>
      <sz val="11"/>
      <name val="Times New Roman"/>
      <charset val="134"/>
    </font>
    <font>
      <b/>
      <sz val="12"/>
      <color theme="1"/>
      <name val="宋体"/>
      <charset val="134"/>
    </font>
    <font>
      <sz val="11"/>
      <name val="宋体"/>
      <charset val="134"/>
    </font>
    <font>
      <sz val="12"/>
      <color theme="1"/>
      <name val="宋体"/>
      <charset val="134"/>
    </font>
    <font>
      <b/>
      <sz val="12"/>
      <name val="宋体"/>
      <charset val="134"/>
    </font>
    <font>
      <sz val="22"/>
      <name val="方正小标宋_GBK"/>
      <charset val="134"/>
    </font>
    <font>
      <sz val="11"/>
      <color indexed="8"/>
      <name val="宋体"/>
      <charset val="134"/>
    </font>
    <font>
      <b/>
      <sz val="20"/>
      <color indexed="8"/>
      <name val="宋体"/>
      <charset val="134"/>
    </font>
    <font>
      <sz val="11"/>
      <color indexed="8"/>
      <name val="宋体"/>
      <charset val="134"/>
      <scheme val="minor"/>
    </font>
    <font>
      <b/>
      <sz val="10"/>
      <color theme="1"/>
      <name val="宋体"/>
      <charset val="134"/>
      <scheme val="minor"/>
    </font>
    <font>
      <b/>
      <sz val="10"/>
      <name val="宋体"/>
      <charset val="134"/>
    </font>
    <font>
      <sz val="1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9C6500"/>
      <name val="宋体"/>
      <charset val="0"/>
      <scheme val="minor"/>
    </font>
  </fonts>
  <fills count="35">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7" tint="0.799951170384838"/>
        <bgColor indexed="64"/>
      </patternFill>
    </fill>
    <fill>
      <patternFill patternType="solid">
        <fgColor theme="4" tint="0.79995117038483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right/>
      <top style="thin">
        <color auto="1"/>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8">
    <xf numFmtId="0" fontId="0" fillId="0" borderId="0">
      <alignment vertical="center"/>
    </xf>
    <xf numFmtId="42" fontId="0" fillId="0" borderId="0" applyFont="0" applyFill="0" applyBorder="0" applyAlignment="0" applyProtection="0">
      <alignment vertical="center"/>
    </xf>
    <xf numFmtId="0" fontId="32" fillId="14" borderId="0" applyNumberFormat="0" applyBorder="0" applyAlignment="0" applyProtection="0">
      <alignment vertical="center"/>
    </xf>
    <xf numFmtId="0" fontId="37" fillId="1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9" borderId="0" applyNumberFormat="0" applyBorder="0" applyAlignment="0" applyProtection="0">
      <alignment vertical="center"/>
    </xf>
    <xf numFmtId="0" fontId="35" fillId="12" borderId="0" applyNumberFormat="0" applyBorder="0" applyAlignment="0" applyProtection="0">
      <alignment vertical="center"/>
    </xf>
    <xf numFmtId="43" fontId="0" fillId="0" borderId="0" applyFont="0" applyFill="0" applyBorder="0" applyAlignment="0" applyProtection="0">
      <alignment vertical="center"/>
    </xf>
    <xf numFmtId="0" fontId="31" fillId="2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xf numFmtId="0" fontId="41" fillId="0" borderId="0" applyNumberFormat="0" applyFill="0" applyBorder="0" applyAlignment="0" applyProtection="0">
      <alignment vertical="center"/>
    </xf>
    <xf numFmtId="0" fontId="0" fillId="22" borderId="18" applyNumberFormat="0" applyFont="0" applyAlignment="0" applyProtection="0">
      <alignment vertical="center"/>
    </xf>
    <xf numFmtId="0" fontId="31" fillId="25" borderId="0" applyNumberFormat="0" applyBorder="0" applyAlignment="0" applyProtection="0">
      <alignment vertical="center"/>
    </xf>
    <xf numFmtId="0" fontId="4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17" applyNumberFormat="0" applyFill="0" applyAlignment="0" applyProtection="0">
      <alignment vertical="center"/>
    </xf>
    <xf numFmtId="0" fontId="39" fillId="0" borderId="17" applyNumberFormat="0" applyFill="0" applyAlignment="0" applyProtection="0">
      <alignment vertical="center"/>
    </xf>
    <xf numFmtId="0" fontId="31" fillId="18" borderId="0" applyNumberFormat="0" applyBorder="0" applyAlignment="0" applyProtection="0">
      <alignment vertical="center"/>
    </xf>
    <xf numFmtId="0" fontId="43" fillId="0" borderId="21" applyNumberFormat="0" applyFill="0" applyAlignment="0" applyProtection="0">
      <alignment vertical="center"/>
    </xf>
    <xf numFmtId="0" fontId="31" fillId="30" borderId="0" applyNumberFormat="0" applyBorder="0" applyAlignment="0" applyProtection="0">
      <alignment vertical="center"/>
    </xf>
    <xf numFmtId="0" fontId="46" fillId="26" borderId="19" applyNumberFormat="0" applyAlignment="0" applyProtection="0">
      <alignment vertical="center"/>
    </xf>
    <xf numFmtId="0" fontId="42" fillId="26" borderId="15" applyNumberFormat="0" applyAlignment="0" applyProtection="0">
      <alignment vertical="center"/>
    </xf>
    <xf numFmtId="0" fontId="48" fillId="28" borderId="20" applyNumberFormat="0" applyAlignment="0" applyProtection="0">
      <alignment vertical="center"/>
    </xf>
    <xf numFmtId="0" fontId="32" fillId="11" borderId="0" applyNumberFormat="0" applyBorder="0" applyAlignment="0" applyProtection="0">
      <alignment vertical="center"/>
    </xf>
    <xf numFmtId="0" fontId="31" fillId="20" borderId="0" applyNumberFormat="0" applyBorder="0" applyAlignment="0" applyProtection="0">
      <alignment vertical="center"/>
    </xf>
    <xf numFmtId="0" fontId="36" fillId="0" borderId="14" applyNumberFormat="0" applyFill="0" applyAlignment="0" applyProtection="0">
      <alignment vertical="center"/>
    </xf>
    <xf numFmtId="0" fontId="38" fillId="0" borderId="16" applyNumberFormat="0" applyFill="0" applyAlignment="0" applyProtection="0">
      <alignment vertical="center"/>
    </xf>
    <xf numFmtId="0" fontId="33" fillId="8" borderId="0" applyNumberFormat="0" applyBorder="0" applyAlignment="0" applyProtection="0">
      <alignment vertical="center"/>
    </xf>
    <xf numFmtId="0" fontId="49" fillId="29" borderId="0" applyNumberFormat="0" applyBorder="0" applyAlignment="0" applyProtection="0">
      <alignment vertical="center"/>
    </xf>
    <xf numFmtId="0" fontId="32" fillId="32" borderId="0" applyNumberFormat="0" applyBorder="0" applyAlignment="0" applyProtection="0">
      <alignment vertical="center"/>
    </xf>
    <xf numFmtId="0" fontId="31" fillId="31" borderId="0" applyNumberFormat="0" applyBorder="0" applyAlignment="0" applyProtection="0">
      <alignment vertical="center"/>
    </xf>
    <xf numFmtId="0" fontId="15" fillId="0" borderId="0">
      <alignment vertical="center"/>
    </xf>
    <xf numFmtId="0" fontId="32" fillId="3" borderId="0" applyNumberFormat="0" applyBorder="0" applyAlignment="0" applyProtection="0">
      <alignment vertical="center"/>
    </xf>
    <xf numFmtId="0" fontId="32" fillId="10" borderId="0" applyNumberFormat="0" applyBorder="0" applyAlignment="0" applyProtection="0">
      <alignment vertical="center"/>
    </xf>
    <xf numFmtId="0" fontId="32" fillId="34" borderId="0" applyNumberFormat="0" applyBorder="0" applyAlignment="0" applyProtection="0">
      <alignment vertical="center"/>
    </xf>
    <xf numFmtId="0" fontId="32" fillId="27" borderId="0" applyNumberFormat="0" applyBorder="0" applyAlignment="0" applyProtection="0">
      <alignment vertical="center"/>
    </xf>
    <xf numFmtId="0" fontId="31" fillId="24" borderId="0" applyNumberFormat="0" applyBorder="0" applyAlignment="0" applyProtection="0">
      <alignment vertical="center"/>
    </xf>
    <xf numFmtId="0" fontId="31" fillId="17" borderId="0" applyNumberFormat="0" applyBorder="0" applyAlignment="0" applyProtection="0">
      <alignment vertical="center"/>
    </xf>
    <xf numFmtId="0" fontId="32" fillId="2" borderId="0" applyNumberFormat="0" applyBorder="0" applyAlignment="0" applyProtection="0">
      <alignment vertical="center"/>
    </xf>
    <xf numFmtId="0" fontId="32" fillId="9" borderId="0" applyNumberFormat="0" applyBorder="0" applyAlignment="0" applyProtection="0">
      <alignment vertical="center"/>
    </xf>
    <xf numFmtId="0" fontId="31" fillId="33" borderId="0" applyNumberFormat="0" applyBorder="0" applyAlignment="0" applyProtection="0">
      <alignment vertical="center"/>
    </xf>
    <xf numFmtId="0" fontId="32" fillId="13" borderId="0" applyNumberFormat="0" applyBorder="0" applyAlignment="0" applyProtection="0">
      <alignment vertical="center"/>
    </xf>
    <xf numFmtId="0" fontId="31" fillId="16" borderId="0" applyNumberFormat="0" applyBorder="0" applyAlignment="0" applyProtection="0">
      <alignment vertical="center"/>
    </xf>
    <xf numFmtId="0" fontId="31" fillId="23" borderId="0" applyNumberFormat="0" applyBorder="0" applyAlignment="0" applyProtection="0">
      <alignment vertical="center"/>
    </xf>
    <xf numFmtId="0" fontId="32" fillId="7" borderId="0" applyNumberFormat="0" applyBorder="0" applyAlignment="0" applyProtection="0">
      <alignment vertical="center"/>
    </xf>
    <xf numFmtId="0" fontId="31" fillId="6"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cellStyleXfs>
  <cellXfs count="288">
    <xf numFmtId="0" fontId="0" fillId="0" borderId="0" xfId="0">
      <alignment vertical="center"/>
    </xf>
    <xf numFmtId="0" fontId="1" fillId="0" borderId="0" xfId="0" applyFont="1" applyAlignment="1">
      <alignment vertical="center" wrapText="1"/>
    </xf>
    <xf numFmtId="179" fontId="0" fillId="0" borderId="0" xfId="0" applyNumberFormat="1">
      <alignment vertical="center"/>
    </xf>
    <xf numFmtId="0" fontId="2" fillId="0" borderId="0" xfId="0" applyFont="1" applyAlignment="1">
      <alignment horizontal="center" vertical="center"/>
    </xf>
    <xf numFmtId="179" fontId="2" fillId="0" borderId="0" xfId="0" applyNumberFormat="1" applyFont="1" applyAlignment="1">
      <alignment horizontal="center" vertical="center"/>
    </xf>
    <xf numFmtId="0" fontId="0" fillId="0" borderId="0" xfId="0" applyAlignment="1">
      <alignment horizontal="center" vertical="center"/>
    </xf>
    <xf numFmtId="179" fontId="0" fillId="0" borderId="0" xfId="0" applyNumberForma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9" fontId="3"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lignment vertical="center"/>
    </xf>
    <xf numFmtId="0" fontId="6" fillId="0" borderId="3" xfId="0" applyFont="1" applyBorder="1" applyAlignment="1">
      <alignment horizontal="justify" vertical="center"/>
    </xf>
    <xf numFmtId="0" fontId="6" fillId="0" borderId="4" xfId="0" applyFont="1" applyBorder="1" applyAlignment="1">
      <alignment horizontal="justify" vertical="center"/>
    </xf>
    <xf numFmtId="176" fontId="7" fillId="0" borderId="3" xfId="0" applyNumberFormat="1" applyFont="1" applyFill="1" applyBorder="1" applyAlignment="1">
      <alignment horizontal="right" vertical="center"/>
    </xf>
    <xf numFmtId="0" fontId="8" fillId="0" borderId="1" xfId="0" applyFont="1" applyBorder="1" applyAlignment="1">
      <alignment vertical="center" wrapText="1"/>
    </xf>
    <xf numFmtId="0" fontId="9" fillId="0" borderId="3" xfId="0" applyFont="1" applyFill="1" applyBorder="1">
      <alignment vertical="center"/>
    </xf>
    <xf numFmtId="0" fontId="6" fillId="0" borderId="3" xfId="0" applyFont="1" applyFill="1" applyBorder="1" applyAlignment="1">
      <alignment horizontal="justify" vertical="center"/>
    </xf>
    <xf numFmtId="0" fontId="10" fillId="0" borderId="3" xfId="0" applyFont="1" applyFill="1" applyBorder="1" applyAlignment="1">
      <alignment horizontal="justify" vertical="center"/>
    </xf>
    <xf numFmtId="0" fontId="11" fillId="0" borderId="3" xfId="0" applyFont="1" applyBorder="1">
      <alignment vertical="center"/>
    </xf>
    <xf numFmtId="176" fontId="12" fillId="0" borderId="3" xfId="0" applyNumberFormat="1" applyFont="1" applyFill="1" applyBorder="1" applyAlignment="1">
      <alignment horizontal="right" vertical="center"/>
    </xf>
    <xf numFmtId="0" fontId="6" fillId="0" borderId="5" xfId="0" applyFont="1" applyBorder="1" applyAlignment="1">
      <alignment horizontal="justify" vertical="center"/>
    </xf>
    <xf numFmtId="0" fontId="13" fillId="0" borderId="6" xfId="0" applyFont="1" applyBorder="1" applyAlignment="1">
      <alignment horizontal="left" vertical="center"/>
    </xf>
    <xf numFmtId="0" fontId="14" fillId="0" borderId="3" xfId="0" applyFont="1" applyFill="1" applyBorder="1" applyAlignment="1">
      <alignment horizontal="left"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180" fontId="18" fillId="0" borderId="3" xfId="4" applyNumberFormat="1" applyFont="1" applyFill="1" applyBorder="1" applyAlignment="1" applyProtection="1">
      <alignment horizontal="center" vertical="center" wrapText="1"/>
      <protection locked="0"/>
    </xf>
    <xf numFmtId="44" fontId="18" fillId="0" borderId="3" xfId="4" applyFont="1" applyFill="1" applyBorder="1" applyAlignment="1" applyProtection="1">
      <alignment horizontal="center" vertical="center" wrapText="1"/>
      <protection locked="0"/>
    </xf>
    <xf numFmtId="182" fontId="18" fillId="0" borderId="3" xfId="4" applyNumberFormat="1" applyFont="1" applyFill="1" applyBorder="1" applyAlignment="1" applyProtection="1">
      <alignment horizontal="center" vertical="center" wrapText="1"/>
      <protection locked="0"/>
    </xf>
    <xf numFmtId="176" fontId="18" fillId="0" borderId="3" xfId="55" applyNumberFormat="1" applyFont="1" applyBorder="1" applyAlignment="1" applyProtection="1">
      <alignment horizontal="center" vertical="center" wrapText="1"/>
      <protection locked="0"/>
    </xf>
    <xf numFmtId="180" fontId="18" fillId="0" borderId="3" xfId="55" applyNumberFormat="1" applyFont="1" applyBorder="1" applyAlignment="1" applyProtection="1">
      <alignment horizontal="center" vertical="center" wrapText="1"/>
      <protection locked="0"/>
    </xf>
    <xf numFmtId="179" fontId="18" fillId="0" borderId="3" xfId="11" applyNumberFormat="1" applyFont="1" applyFill="1" applyBorder="1" applyAlignment="1">
      <alignment horizontal="center" vertical="center" wrapText="1"/>
    </xf>
    <xf numFmtId="0" fontId="18" fillId="0" borderId="3" xfId="55" applyFont="1" applyBorder="1" applyAlignment="1" applyProtection="1">
      <alignment horizontal="center" vertical="center" wrapText="1"/>
      <protection locked="0"/>
    </xf>
    <xf numFmtId="182" fontId="18" fillId="0" borderId="3" xfId="55" applyNumberFormat="1" applyFont="1" applyBorder="1" applyAlignment="1" applyProtection="1">
      <alignment horizontal="center" vertical="center" wrapText="1"/>
      <protection locked="0"/>
    </xf>
    <xf numFmtId="176" fontId="18" fillId="0" borderId="7" xfId="55" applyNumberFormat="1" applyFont="1" applyBorder="1" applyAlignment="1" applyProtection="1">
      <alignment horizontal="center" vertical="center" wrapText="1"/>
      <protection locked="0"/>
    </xf>
    <xf numFmtId="179" fontId="19" fillId="0" borderId="7" xfId="11" applyNumberFormat="1"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0" fontId="18" fillId="0" borderId="3" xfId="0" applyFont="1" applyBorder="1">
      <alignment vertical="center"/>
    </xf>
    <xf numFmtId="176" fontId="20" fillId="0" borderId="3" xfId="0" applyNumberFormat="1" applyFont="1" applyBorder="1" applyAlignment="1">
      <alignment horizontal="right" vertical="center" wrapText="1"/>
    </xf>
    <xf numFmtId="183" fontId="20" fillId="0" borderId="3" xfId="0" applyNumberFormat="1" applyFont="1" applyBorder="1" applyAlignment="1">
      <alignment horizontal="right" vertical="center" wrapText="1"/>
    </xf>
    <xf numFmtId="183" fontId="20" fillId="0" borderId="3" xfId="11" applyNumberFormat="1" applyFont="1" applyFill="1" applyBorder="1" applyAlignment="1" applyProtection="1">
      <alignment horizontal="right" vertical="center" wrapText="1"/>
    </xf>
    <xf numFmtId="0" fontId="21" fillId="0" borderId="3" xfId="0" applyFont="1" applyBorder="1" applyAlignment="1">
      <alignment vertical="center" wrapText="1"/>
    </xf>
    <xf numFmtId="176" fontId="22" fillId="0" borderId="3" xfId="0" applyNumberFormat="1" applyFont="1" applyBorder="1" applyAlignment="1">
      <alignment horizontal="right" vertical="center" wrapText="1"/>
    </xf>
    <xf numFmtId="183" fontId="22" fillId="0" borderId="3" xfId="11" applyNumberFormat="1" applyFont="1" applyFill="1" applyBorder="1" applyAlignment="1" applyProtection="1">
      <alignment horizontal="right" vertical="center" wrapText="1"/>
    </xf>
    <xf numFmtId="0" fontId="15" fillId="0" borderId="3" xfId="0" applyFont="1" applyBorder="1" applyAlignment="1">
      <alignment vertical="center" wrapText="1"/>
    </xf>
    <xf numFmtId="183" fontId="22" fillId="0" borderId="3" xfId="0" applyNumberFormat="1" applyFont="1" applyBorder="1" applyAlignment="1">
      <alignment horizontal="right" vertical="center" wrapText="1"/>
    </xf>
    <xf numFmtId="0" fontId="23" fillId="0" borderId="3" xfId="0" applyFont="1" applyBorder="1">
      <alignment vertical="center"/>
    </xf>
    <xf numFmtId="181" fontId="23" fillId="0" borderId="3" xfId="0" applyNumberFormat="1" applyFont="1" applyBorder="1" applyAlignment="1">
      <alignment horizontal="right" vertical="center" wrapText="1"/>
    </xf>
    <xf numFmtId="0" fontId="21" fillId="0" borderId="0" xfId="0" applyFont="1" applyAlignment="1">
      <alignment horizontal="right" vertical="center"/>
    </xf>
    <xf numFmtId="180" fontId="18" fillId="0" borderId="8" xfId="55" applyNumberFormat="1" applyFont="1" applyBorder="1" applyAlignment="1" applyProtection="1">
      <alignment horizontal="center" vertical="center" wrapText="1"/>
      <protection locked="0"/>
    </xf>
    <xf numFmtId="176" fontId="15" fillId="0" borderId="3" xfId="0" applyNumberFormat="1" applyFont="1" applyBorder="1" applyAlignment="1">
      <alignment horizontal="right" vertical="center" wrapText="1"/>
    </xf>
    <xf numFmtId="0" fontId="18" fillId="0" borderId="3" xfId="56" applyFont="1" applyBorder="1" applyAlignment="1">
      <alignment horizontal="center" vertical="center" wrapText="1"/>
    </xf>
    <xf numFmtId="0" fontId="18" fillId="0" borderId="3" xfId="54" applyFont="1" applyBorder="1" applyAlignment="1">
      <alignment horizontal="center" vertical="center"/>
    </xf>
    <xf numFmtId="176" fontId="23" fillId="0" borderId="3" xfId="0" applyNumberFormat="1" applyFont="1" applyBorder="1" applyAlignment="1">
      <alignment horizontal="right" vertical="center" wrapText="1"/>
    </xf>
    <xf numFmtId="183" fontId="23" fillId="0" borderId="3" xfId="0" applyNumberFormat="1" applyFont="1" applyBorder="1" applyAlignment="1">
      <alignment horizontal="right" vertical="center" wrapText="1"/>
    </xf>
    <xf numFmtId="183" fontId="15" fillId="0" borderId="3" xfId="0" applyNumberFormat="1" applyFont="1" applyBorder="1" applyAlignment="1">
      <alignment horizontal="right" vertical="center" wrapText="1"/>
    </xf>
    <xf numFmtId="181" fontId="15" fillId="0" borderId="3" xfId="0" applyNumberFormat="1" applyFont="1" applyBorder="1" applyAlignment="1">
      <alignment horizontal="right" vertical="center" wrapText="1"/>
    </xf>
    <xf numFmtId="0" fontId="21" fillId="0" borderId="0" xfId="54" applyFont="1" applyAlignment="1">
      <alignment vertical="center"/>
    </xf>
    <xf numFmtId="0" fontId="18" fillId="0" borderId="0" xfId="54" applyFont="1" applyAlignment="1">
      <alignment vertical="center"/>
    </xf>
    <xf numFmtId="0" fontId="23" fillId="0" borderId="0" xfId="54" applyFont="1" applyAlignment="1">
      <alignment vertical="center"/>
    </xf>
    <xf numFmtId="0" fontId="15" fillId="2" borderId="0" xfId="54" applyFill="1" applyAlignment="1">
      <alignment vertical="center"/>
    </xf>
    <xf numFmtId="0" fontId="15" fillId="0" borderId="0" xfId="54" applyAlignment="1">
      <alignment horizontal="center" vertical="center"/>
    </xf>
    <xf numFmtId="0" fontId="15" fillId="0" borderId="0" xfId="54" applyAlignment="1">
      <alignment horizontal="left" vertical="center"/>
    </xf>
    <xf numFmtId="0" fontId="15" fillId="0" borderId="0" xfId="54" applyAlignment="1">
      <alignment vertical="center" wrapText="1"/>
    </xf>
    <xf numFmtId="0" fontId="15" fillId="0" borderId="0" xfId="54" applyAlignment="1">
      <alignment vertical="center"/>
    </xf>
    <xf numFmtId="10" fontId="15" fillId="0" borderId="0" xfId="54" applyNumberFormat="1" applyAlignment="1">
      <alignment vertical="center"/>
    </xf>
    <xf numFmtId="0" fontId="24" fillId="0" borderId="0" xfId="54" applyFont="1" applyAlignment="1">
      <alignment horizontal="center" vertical="center"/>
    </xf>
    <xf numFmtId="10" fontId="24" fillId="0" borderId="0" xfId="54" applyNumberFormat="1" applyFont="1" applyAlignment="1">
      <alignment horizontal="center" vertical="center"/>
    </xf>
    <xf numFmtId="0" fontId="18" fillId="0" borderId="3" xfId="54" applyFont="1" applyBorder="1" applyAlignment="1">
      <alignment horizontal="center" vertical="center" wrapText="1"/>
    </xf>
    <xf numFmtId="10" fontId="18" fillId="0" borderId="3" xfId="54" applyNumberFormat="1" applyFont="1" applyBorder="1" applyAlignment="1">
      <alignment horizontal="center" vertical="center"/>
    </xf>
    <xf numFmtId="10" fontId="18" fillId="0" borderId="3" xfId="11" applyNumberFormat="1" applyFont="1" applyFill="1" applyBorder="1" applyAlignment="1">
      <alignment horizontal="center" vertical="center" wrapText="1"/>
    </xf>
    <xf numFmtId="10" fontId="19" fillId="0" borderId="7" xfId="11" applyNumberFormat="1" applyFont="1" applyFill="1" applyBorder="1" applyAlignment="1">
      <alignment horizontal="center" vertical="center" wrapText="1"/>
    </xf>
    <xf numFmtId="0" fontId="18" fillId="2" borderId="3" xfId="54" applyFont="1" applyFill="1" applyBorder="1" applyAlignment="1">
      <alignment horizontal="center" vertical="center"/>
    </xf>
    <xf numFmtId="0" fontId="18" fillId="2" borderId="3" xfId="54" applyFont="1" applyFill="1" applyBorder="1" applyAlignment="1">
      <alignment horizontal="left" vertical="center"/>
    </xf>
    <xf numFmtId="0" fontId="18" fillId="2" borderId="3" xfId="51" applyFont="1" applyFill="1" applyBorder="1" applyAlignment="1">
      <alignment horizontal="left" vertical="center" wrapText="1"/>
    </xf>
    <xf numFmtId="41" fontId="18" fillId="2" borderId="3" xfId="54" applyNumberFormat="1" applyFont="1" applyFill="1" applyBorder="1" applyAlignment="1">
      <alignment vertical="center"/>
    </xf>
    <xf numFmtId="10" fontId="18" fillId="2" borderId="3" xfId="56" applyNumberFormat="1" applyFont="1" applyFill="1" applyBorder="1" applyAlignment="1">
      <alignment horizontal="right" vertical="center"/>
    </xf>
    <xf numFmtId="0" fontId="21" fillId="3" borderId="3" xfId="54" applyFont="1" applyFill="1" applyBorder="1" applyAlignment="1">
      <alignment horizontal="center" vertical="center"/>
    </xf>
    <xf numFmtId="0" fontId="21" fillId="3" borderId="3" xfId="54" applyFont="1" applyFill="1" applyBorder="1" applyAlignment="1">
      <alignment horizontal="left" vertical="center"/>
    </xf>
    <xf numFmtId="0" fontId="21" fillId="3" borderId="3" xfId="51" applyFont="1" applyFill="1" applyBorder="1" applyAlignment="1">
      <alignment horizontal="left" vertical="center" wrapText="1"/>
    </xf>
    <xf numFmtId="41" fontId="21" fillId="3" borderId="3" xfId="54" applyNumberFormat="1" applyFont="1" applyFill="1" applyBorder="1" applyAlignment="1">
      <alignment vertical="center"/>
    </xf>
    <xf numFmtId="10" fontId="21" fillId="3" borderId="3" xfId="56" applyNumberFormat="1" applyFont="1" applyFill="1" applyBorder="1" applyAlignment="1">
      <alignment horizontal="right" vertical="center"/>
    </xf>
    <xf numFmtId="0" fontId="21" fillId="0" borderId="3" xfId="54" applyFont="1" applyBorder="1" applyAlignment="1">
      <alignment horizontal="center" vertical="center"/>
    </xf>
    <xf numFmtId="0" fontId="21" fillId="0" borderId="3" xfId="54" applyFont="1" applyBorder="1" applyAlignment="1">
      <alignment horizontal="left" vertical="center"/>
    </xf>
    <xf numFmtId="0" fontId="21" fillId="0" borderId="3" xfId="51" applyFont="1" applyBorder="1" applyAlignment="1">
      <alignment horizontal="left" vertical="center" wrapText="1"/>
    </xf>
    <xf numFmtId="41" fontId="21" fillId="0" borderId="3" xfId="54" applyNumberFormat="1" applyFont="1" applyBorder="1" applyAlignment="1">
      <alignment vertical="center"/>
    </xf>
    <xf numFmtId="10" fontId="21" fillId="0" borderId="3" xfId="56" applyNumberFormat="1" applyFont="1" applyBorder="1" applyAlignment="1">
      <alignment horizontal="right" vertical="center"/>
    </xf>
    <xf numFmtId="10" fontId="18" fillId="2" borderId="3" xfId="54" applyNumberFormat="1" applyFont="1" applyFill="1" applyBorder="1" applyAlignment="1">
      <alignment vertical="center"/>
    </xf>
    <xf numFmtId="10" fontId="21" fillId="3" borderId="3" xfId="54" applyNumberFormat="1" applyFont="1" applyFill="1" applyBorder="1" applyAlignme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41" fontId="18" fillId="0" borderId="3" xfId="54" applyNumberFormat="1" applyFont="1" applyBorder="1" applyAlignment="1">
      <alignment vertical="center"/>
    </xf>
    <xf numFmtId="178" fontId="21" fillId="3" borderId="3" xfId="56" applyNumberFormat="1" applyFont="1" applyFill="1" applyBorder="1" applyAlignment="1">
      <alignment horizontal="right" vertical="center"/>
    </xf>
    <xf numFmtId="178" fontId="18" fillId="2" borderId="3" xfId="56" applyNumberFormat="1" applyFont="1" applyFill="1" applyBorder="1" applyAlignment="1">
      <alignment horizontal="right" vertical="center"/>
    </xf>
    <xf numFmtId="10" fontId="21" fillId="0" borderId="0" xfId="54" applyNumberFormat="1" applyFont="1" applyAlignment="1">
      <alignment horizontal="right" vertical="center"/>
    </xf>
    <xf numFmtId="0" fontId="21" fillId="0" borderId="0" xfId="54" applyFont="1" applyAlignment="1">
      <alignment horizontal="right" vertical="center"/>
    </xf>
    <xf numFmtId="10" fontId="18" fillId="0" borderId="3" xfId="54" applyNumberFormat="1" applyFont="1" applyBorder="1" applyAlignment="1">
      <alignment horizontal="center" vertical="center" wrapText="1"/>
    </xf>
    <xf numFmtId="176" fontId="18" fillId="2" borderId="3" xfId="56" applyNumberFormat="1" applyFont="1" applyFill="1" applyBorder="1" applyAlignment="1">
      <alignment horizontal="right" vertical="center"/>
    </xf>
    <xf numFmtId="0" fontId="18" fillId="2" borderId="3" xfId="54" applyFont="1" applyFill="1" applyBorder="1" applyAlignment="1">
      <alignment vertical="center"/>
    </xf>
    <xf numFmtId="176" fontId="21" fillId="3" borderId="3" xfId="56" applyNumberFormat="1" applyFont="1" applyFill="1" applyBorder="1" applyAlignment="1">
      <alignment horizontal="right" vertical="center"/>
    </xf>
    <xf numFmtId="0" fontId="21" fillId="3" borderId="3" xfId="54" applyFont="1" applyFill="1" applyBorder="1" applyAlignment="1">
      <alignment vertical="center"/>
    </xf>
    <xf numFmtId="176" fontId="21" fillId="0" borderId="3" xfId="56" applyNumberFormat="1" applyFont="1" applyBorder="1" applyAlignment="1">
      <alignment horizontal="right" vertical="center"/>
    </xf>
    <xf numFmtId="0" fontId="21" fillId="0" borderId="3" xfId="54" applyFont="1" applyBorder="1" applyAlignment="1">
      <alignment vertical="center"/>
    </xf>
    <xf numFmtId="0" fontId="6" fillId="3" borderId="3" xfId="54" applyFont="1" applyFill="1" applyBorder="1" applyAlignment="1">
      <alignment vertical="center"/>
    </xf>
    <xf numFmtId="0" fontId="6" fillId="0" borderId="3" xfId="54" applyFont="1" applyBorder="1" applyAlignment="1">
      <alignment vertical="center"/>
    </xf>
    <xf numFmtId="0" fontId="6" fillId="3" borderId="3" xfId="54" applyFont="1" applyFill="1" applyBorder="1" applyAlignment="1">
      <alignment vertical="center" wrapText="1"/>
    </xf>
    <xf numFmtId="0" fontId="15" fillId="0" borderId="3" xfId="54" applyBorder="1" applyAlignment="1">
      <alignment horizontal="left" vertical="center"/>
    </xf>
    <xf numFmtId="0" fontId="15" fillId="3" borderId="3" xfId="54" applyFill="1" applyBorder="1" applyAlignment="1">
      <alignment horizontal="left" vertical="center"/>
    </xf>
    <xf numFmtId="0" fontId="23" fillId="2" borderId="3" xfId="54" applyFont="1" applyFill="1" applyBorder="1" applyAlignment="1">
      <alignment horizontal="center" vertical="center"/>
    </xf>
    <xf numFmtId="0" fontId="23" fillId="2" borderId="3" xfId="54" applyFont="1" applyFill="1" applyBorder="1" applyAlignment="1">
      <alignment horizontal="left" vertical="center"/>
    </xf>
    <xf numFmtId="0" fontId="18" fillId="2" borderId="3" xfId="57" applyFont="1" applyFill="1" applyBorder="1" applyAlignment="1">
      <alignment horizontal="center" vertical="center"/>
    </xf>
    <xf numFmtId="41" fontId="21" fillId="2" borderId="3" xfId="54" applyNumberFormat="1" applyFont="1" applyFill="1" applyBorder="1" applyAlignment="1">
      <alignment vertical="center"/>
    </xf>
    <xf numFmtId="0" fontId="15" fillId="2" borderId="3" xfId="54" applyFill="1" applyBorder="1" applyAlignment="1">
      <alignment horizontal="center" vertical="center"/>
    </xf>
    <xf numFmtId="0" fontId="15" fillId="2" borderId="3" xfId="54" applyFill="1" applyBorder="1" applyAlignment="1">
      <alignment horizontal="left" vertical="center"/>
    </xf>
    <xf numFmtId="0" fontId="21" fillId="2" borderId="3" xfId="36" applyFont="1" applyFill="1" applyBorder="1" applyAlignment="1">
      <alignment horizontal="left" vertical="center" wrapText="1"/>
    </xf>
    <xf numFmtId="10" fontId="21" fillId="2" borderId="3" xfId="56" applyNumberFormat="1" applyFont="1" applyFill="1" applyBorder="1" applyAlignment="1">
      <alignment horizontal="right" vertical="center"/>
    </xf>
    <xf numFmtId="0" fontId="15" fillId="0" borderId="3" xfId="54" applyBorder="1" applyAlignment="1">
      <alignment horizontal="center" vertical="center"/>
    </xf>
    <xf numFmtId="0" fontId="21" fillId="0" borderId="3" xfId="36" applyFont="1" applyBorder="1" applyAlignment="1">
      <alignment horizontal="left" vertical="center" wrapText="1"/>
    </xf>
    <xf numFmtId="176" fontId="21" fillId="2" borderId="3" xfId="56" applyNumberFormat="1" applyFont="1" applyFill="1" applyBorder="1" applyAlignment="1">
      <alignment horizontal="right" vertical="center"/>
    </xf>
    <xf numFmtId="0" fontId="21" fillId="2" borderId="3" xfId="54" applyFont="1" applyFill="1" applyBorder="1" applyAlignment="1">
      <alignment vertical="center"/>
    </xf>
    <xf numFmtId="0" fontId="6" fillId="2" borderId="3" xfId="54" applyFont="1" applyFill="1" applyBorder="1" applyAlignment="1">
      <alignment vertical="center" wrapText="1"/>
    </xf>
    <xf numFmtId="41" fontId="15" fillId="0" borderId="0" xfId="54" applyNumberFormat="1" applyAlignment="1">
      <alignment vertical="center"/>
    </xf>
    <xf numFmtId="176" fontId="15" fillId="0" borderId="0" xfId="54" applyNumberFormat="1" applyAlignment="1">
      <alignment vertical="center"/>
    </xf>
    <xf numFmtId="184" fontId="15" fillId="0" borderId="0" xfId="54" applyNumberFormat="1" applyAlignment="1">
      <alignment vertical="center"/>
    </xf>
    <xf numFmtId="3" fontId="21" fillId="0" borderId="3" xfId="52" applyNumberFormat="1" applyFont="1" applyBorder="1">
      <alignment vertical="center"/>
    </xf>
    <xf numFmtId="41" fontId="15" fillId="0" borderId="3" xfId="54" applyNumberFormat="1" applyBorder="1" applyAlignment="1">
      <alignment vertical="center"/>
    </xf>
    <xf numFmtId="184" fontId="21" fillId="0" borderId="3" xfId="52" applyNumberFormat="1" applyFont="1" applyBorder="1">
      <alignment vertical="center"/>
    </xf>
    <xf numFmtId="176" fontId="21" fillId="0" borderId="3" xfId="52" applyNumberFormat="1" applyFont="1" applyBorder="1">
      <alignment vertical="center"/>
    </xf>
    <xf numFmtId="10" fontId="21" fillId="0" borderId="3" xfId="52" applyNumberFormat="1" applyFont="1" applyBorder="1">
      <alignment vertical="center"/>
    </xf>
    <xf numFmtId="0" fontId="18" fillId="0" borderId="3" xfId="57" applyFont="1" applyBorder="1" applyAlignment="1">
      <alignment horizontal="center" vertical="center"/>
    </xf>
    <xf numFmtId="41" fontId="23" fillId="0" borderId="3" xfId="54" applyNumberFormat="1" applyFont="1" applyBorder="1" applyAlignment="1">
      <alignment vertical="center"/>
    </xf>
    <xf numFmtId="176" fontId="18" fillId="0" borderId="3" xfId="56" applyNumberFormat="1" applyFont="1" applyBorder="1" applyAlignment="1">
      <alignment horizontal="right" vertical="center"/>
    </xf>
    <xf numFmtId="178" fontId="18" fillId="0" borderId="3" xfId="56" applyNumberFormat="1" applyFont="1" applyBorder="1" applyAlignment="1">
      <alignment horizontal="right" vertical="center"/>
    </xf>
    <xf numFmtId="184" fontId="18" fillId="0" borderId="3" xfId="56" applyNumberFormat="1" applyFont="1" applyBorder="1" applyAlignment="1">
      <alignment horizontal="right" vertical="center"/>
    </xf>
    <xf numFmtId="182" fontId="21" fillId="0" borderId="3" xfId="54" applyNumberFormat="1" applyFont="1" applyBorder="1" applyAlignment="1" applyProtection="1">
      <alignment vertical="center" wrapText="1"/>
      <protection locked="0"/>
    </xf>
    <xf numFmtId="184" fontId="21" fillId="0" borderId="3" xfId="56" applyNumberFormat="1" applyFont="1" applyBorder="1" applyAlignment="1">
      <alignment horizontal="right" vertical="center"/>
    </xf>
    <xf numFmtId="178" fontId="21" fillId="0" borderId="3" xfId="56" applyNumberFormat="1" applyFont="1" applyBorder="1" applyAlignment="1">
      <alignment horizontal="right" vertical="center"/>
    </xf>
    <xf numFmtId="0" fontId="21" fillId="0" borderId="9" xfId="54" applyFont="1" applyBorder="1" applyAlignment="1">
      <alignment horizontal="center" vertical="center"/>
    </xf>
    <xf numFmtId="0" fontId="15" fillId="0" borderId="3" xfId="54" applyBorder="1" applyAlignment="1">
      <alignment vertical="center"/>
    </xf>
    <xf numFmtId="0" fontId="6" fillId="0" borderId="3" xfId="54" applyFont="1" applyBorder="1" applyAlignment="1">
      <alignment vertical="center" wrapText="1"/>
    </xf>
    <xf numFmtId="176" fontId="18" fillId="0" borderId="3" xfId="52" applyNumberFormat="1" applyFont="1" applyBorder="1">
      <alignment vertical="center"/>
    </xf>
    <xf numFmtId="184" fontId="18" fillId="0" borderId="3" xfId="52" applyNumberFormat="1" applyFont="1" applyBorder="1">
      <alignment vertical="center"/>
    </xf>
    <xf numFmtId="0" fontId="23" fillId="0" borderId="3" xfId="54" applyFont="1" applyBorder="1" applyAlignment="1">
      <alignment vertical="center"/>
    </xf>
    <xf numFmtId="0" fontId="25" fillId="0" borderId="0" xfId="0" applyFont="1">
      <alignment vertical="center"/>
    </xf>
    <xf numFmtId="176" fontId="25" fillId="0" borderId="0" xfId="0" applyNumberFormat="1"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176" fontId="26" fillId="0" borderId="0" xfId="0" applyNumberFormat="1" applyFont="1" applyAlignment="1">
      <alignment horizontal="center" vertical="center"/>
    </xf>
    <xf numFmtId="0" fontId="27" fillId="0" borderId="0" xfId="0" applyFont="1">
      <alignment vertical="center"/>
    </xf>
    <xf numFmtId="176" fontId="27" fillId="0" borderId="0" xfId="0" applyNumberFormat="1" applyFont="1" applyAlignment="1">
      <alignment horizontal="center" vertical="center"/>
    </xf>
    <xf numFmtId="0" fontId="27" fillId="0" borderId="3" xfId="0" applyFont="1" applyBorder="1" applyAlignment="1">
      <alignment horizontal="center" vertical="center"/>
    </xf>
    <xf numFmtId="176" fontId="27" fillId="0" borderId="3" xfId="0" applyNumberFormat="1" applyFont="1" applyBorder="1" applyAlignment="1">
      <alignment horizontal="center" vertical="center"/>
    </xf>
    <xf numFmtId="0" fontId="27" fillId="3" borderId="10" xfId="0" applyFont="1" applyFill="1" applyBorder="1">
      <alignment vertical="center"/>
    </xf>
    <xf numFmtId="176" fontId="27" fillId="3" borderId="10" xfId="0" applyNumberFormat="1" applyFont="1" applyFill="1" applyBorder="1" applyAlignment="1">
      <alignment horizontal="center" vertical="center" wrapText="1"/>
    </xf>
    <xf numFmtId="0" fontId="27" fillId="0" borderId="1" xfId="0" applyFont="1" applyBorder="1">
      <alignment vertical="center"/>
    </xf>
    <xf numFmtId="176" fontId="27" fillId="0" borderId="1" xfId="0" applyNumberFormat="1" applyFont="1" applyBorder="1" applyAlignment="1">
      <alignment horizontal="center" vertical="center" wrapText="1"/>
    </xf>
    <xf numFmtId="0" fontId="27" fillId="3" borderId="1" xfId="0" applyFont="1" applyFill="1" applyBorder="1">
      <alignment vertical="center"/>
    </xf>
    <xf numFmtId="176" fontId="27" fillId="3" borderId="1" xfId="0" applyNumberFormat="1" applyFont="1" applyFill="1" applyBorder="1" applyAlignment="1">
      <alignment horizontal="center" vertical="center" wrapText="1"/>
    </xf>
    <xf numFmtId="0" fontId="27" fillId="3" borderId="1" xfId="0" applyFont="1" applyFill="1" applyBorder="1" applyAlignment="1">
      <alignment horizontal="left" vertical="center"/>
    </xf>
    <xf numFmtId="0" fontId="27" fillId="0" borderId="1" xfId="0" applyFont="1" applyBorder="1" applyAlignment="1">
      <alignment horizontal="left" vertical="center"/>
    </xf>
    <xf numFmtId="0" fontId="1" fillId="0" borderId="0" xfId="0" applyFont="1">
      <alignment vertical="center"/>
    </xf>
    <xf numFmtId="0" fontId="0" fillId="3" borderId="0" xfId="0" applyFill="1">
      <alignment vertical="center"/>
    </xf>
    <xf numFmtId="0" fontId="0" fillId="0" borderId="0" xfId="0" applyFill="1">
      <alignment vertical="center"/>
    </xf>
    <xf numFmtId="0" fontId="5" fillId="0" borderId="0" xfId="0" applyFont="1" applyFill="1">
      <alignment vertical="center"/>
    </xf>
    <xf numFmtId="0" fontId="5" fillId="0" borderId="0" xfId="0" applyFont="1">
      <alignment vertical="center"/>
    </xf>
    <xf numFmtId="0" fontId="28" fillId="0" borderId="0" xfId="0" applyFont="1">
      <alignment vertical="center"/>
    </xf>
    <xf numFmtId="0" fontId="5" fillId="3" borderId="0" xfId="0" applyFont="1" applyFill="1">
      <alignment vertical="center"/>
    </xf>
    <xf numFmtId="0" fontId="6" fillId="0" borderId="0" xfId="0" applyFont="1">
      <alignment vertical="center"/>
    </xf>
    <xf numFmtId="0" fontId="0" fillId="0" borderId="0" xfId="0" applyAlignment="1"/>
    <xf numFmtId="179" fontId="0" fillId="0" borderId="0" xfId="11" applyNumberFormat="1" applyFont="1" applyFill="1">
      <alignment vertical="center"/>
    </xf>
    <xf numFmtId="0" fontId="15" fillId="0" borderId="0" xfId="0" applyFont="1" applyAlignment="1">
      <alignment horizontal="center" vertical="center"/>
    </xf>
    <xf numFmtId="176" fontId="15" fillId="0" borderId="0" xfId="0" applyNumberFormat="1" applyFont="1" applyAlignment="1">
      <alignment vertical="center" wrapText="1"/>
    </xf>
    <xf numFmtId="176" fontId="15" fillId="0" borderId="0" xfId="0" applyNumberFormat="1" applyFont="1">
      <alignment vertical="center"/>
    </xf>
    <xf numFmtId="179" fontId="15" fillId="0" borderId="0" xfId="11" applyNumberFormat="1" applyFont="1" applyFill="1">
      <alignment vertical="center"/>
    </xf>
    <xf numFmtId="1" fontId="24" fillId="0" borderId="0" xfId="0" applyNumberFormat="1" applyFont="1" applyAlignment="1">
      <alignment horizontal="center" vertical="center" wrapText="1"/>
    </xf>
    <xf numFmtId="179" fontId="24" fillId="0" borderId="0" xfId="11" applyNumberFormat="1" applyFont="1" applyFill="1" applyAlignment="1">
      <alignment horizontal="center" vertical="center" wrapText="1"/>
    </xf>
    <xf numFmtId="0" fontId="15" fillId="0" borderId="0" xfId="0" applyFont="1" applyAlignment="1">
      <alignment horizontal="right" vertical="center"/>
    </xf>
    <xf numFmtId="179" fontId="15" fillId="0" borderId="0" xfId="11" applyNumberFormat="1" applyFont="1" applyFill="1" applyAlignment="1">
      <alignment horizontal="right" vertical="center"/>
    </xf>
    <xf numFmtId="179" fontId="18" fillId="0" borderId="3" xfId="11" applyNumberFormat="1" applyFont="1" applyFill="1" applyBorder="1" applyAlignment="1" applyProtection="1">
      <alignment horizontal="center" vertical="center" wrapText="1"/>
      <protection locked="0"/>
    </xf>
    <xf numFmtId="0" fontId="18" fillId="0" borderId="7" xfId="55" applyFont="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29" fillId="2" borderId="3" xfId="0" applyFont="1" applyFill="1" applyBorder="1" applyAlignment="1">
      <alignment horizontal="left" vertical="center"/>
    </xf>
    <xf numFmtId="3" fontId="29" fillId="2" borderId="3" xfId="0" applyNumberFormat="1" applyFont="1" applyFill="1" applyBorder="1" applyAlignment="1">
      <alignment horizontal="right" vertical="center"/>
    </xf>
    <xf numFmtId="3" fontId="6" fillId="2" borderId="3" xfId="0" applyNumberFormat="1" applyFont="1" applyFill="1" applyBorder="1" applyAlignment="1">
      <alignment horizontal="right" vertical="center"/>
    </xf>
    <xf numFmtId="179" fontId="29" fillId="2" borderId="3" xfId="11" applyNumberFormat="1" applyFont="1" applyFill="1" applyBorder="1" applyAlignment="1">
      <alignment horizontal="right" vertical="center"/>
    </xf>
    <xf numFmtId="0" fontId="0" fillId="3" borderId="3" xfId="0" applyFill="1" applyBorder="1" applyAlignment="1">
      <alignment horizontal="center" vertical="center"/>
    </xf>
    <xf numFmtId="0" fontId="6" fillId="3" borderId="3" xfId="0" applyFont="1" applyFill="1" applyBorder="1" applyAlignment="1">
      <alignment horizontal="left" vertical="center"/>
    </xf>
    <xf numFmtId="0" fontId="29" fillId="3" borderId="3" xfId="0" applyFont="1" applyFill="1" applyBorder="1" applyAlignment="1">
      <alignment horizontal="left" vertical="center"/>
    </xf>
    <xf numFmtId="3" fontId="29" fillId="3" borderId="3" xfId="0" applyNumberFormat="1" applyFont="1" applyFill="1" applyBorder="1" applyAlignment="1">
      <alignment horizontal="right" vertical="center"/>
    </xf>
    <xf numFmtId="3" fontId="6" fillId="3" borderId="3" xfId="0" applyNumberFormat="1" applyFont="1" applyFill="1" applyBorder="1" applyAlignment="1">
      <alignment horizontal="right" vertical="center"/>
    </xf>
    <xf numFmtId="179" fontId="29" fillId="3" borderId="3" xfId="11" applyNumberFormat="1" applyFont="1" applyFill="1" applyBorder="1" applyAlignment="1">
      <alignment horizontal="right" vertical="center"/>
    </xf>
    <xf numFmtId="0" fontId="0" fillId="0" borderId="3" xfId="0" applyFill="1" applyBorder="1" applyAlignment="1">
      <alignment horizontal="center" vertical="center"/>
    </xf>
    <xf numFmtId="0" fontId="6" fillId="0" borderId="3" xfId="0" applyFont="1" applyFill="1" applyBorder="1" applyAlignment="1">
      <alignment horizontal="left" vertical="center"/>
    </xf>
    <xf numFmtId="0" fontId="30" fillId="0" borderId="3" xfId="0" applyFont="1" applyFill="1" applyBorder="1">
      <alignment vertical="center"/>
    </xf>
    <xf numFmtId="0" fontId="6" fillId="0" borderId="3" xfId="0" applyFont="1" applyBorder="1" applyAlignment="1">
      <alignment horizontal="right" vertical="center"/>
    </xf>
    <xf numFmtId="3" fontId="6" fillId="0" borderId="3" xfId="0" applyNumberFormat="1" applyFont="1" applyFill="1" applyBorder="1" applyAlignment="1">
      <alignment horizontal="right" vertical="center"/>
    </xf>
    <xf numFmtId="179" fontId="6" fillId="0" borderId="3" xfId="11" applyNumberFormat="1" applyFont="1" applyFill="1" applyBorder="1" applyAlignment="1">
      <alignment horizontal="right" vertical="center"/>
    </xf>
    <xf numFmtId="0" fontId="0" fillId="0" borderId="3" xfId="0" applyBorder="1" applyAlignment="1">
      <alignment horizontal="center" vertical="center"/>
    </xf>
    <xf numFmtId="0" fontId="6" fillId="0" borderId="3" xfId="0" applyFont="1" applyBorder="1" applyAlignment="1">
      <alignment horizontal="left" vertical="center"/>
    </xf>
    <xf numFmtId="0" fontId="0" fillId="0" borderId="3" xfId="0" applyBorder="1">
      <alignment vertical="center"/>
    </xf>
    <xf numFmtId="3" fontId="6" fillId="0" borderId="3" xfId="0" applyNumberFormat="1" applyFont="1" applyBorder="1" applyAlignment="1">
      <alignment horizontal="right" vertical="center"/>
    </xf>
    <xf numFmtId="0" fontId="0" fillId="0" borderId="3" xfId="0" applyFill="1" applyBorder="1">
      <alignment vertical="center"/>
    </xf>
    <xf numFmtId="179" fontId="15" fillId="0" borderId="0" xfId="0" applyNumberFormat="1" applyFont="1">
      <alignment vertical="center"/>
    </xf>
    <xf numFmtId="179" fontId="24" fillId="0" borderId="0" xfId="0" applyNumberFormat="1" applyFont="1" applyAlignment="1">
      <alignment horizontal="center" vertical="center" wrapText="1"/>
    </xf>
    <xf numFmtId="179" fontId="15" fillId="0" borderId="0" xfId="0" applyNumberFormat="1" applyFont="1" applyAlignment="1">
      <alignment horizontal="right" vertical="center"/>
    </xf>
    <xf numFmtId="179" fontId="18" fillId="0" borderId="3" xfId="55" applyNumberFormat="1" applyFont="1" applyBorder="1" applyAlignment="1" applyProtection="1">
      <alignment horizontal="center" vertical="center" wrapText="1"/>
      <protection locked="0"/>
    </xf>
    <xf numFmtId="176" fontId="18" fillId="0" borderId="5" xfId="55" applyNumberFormat="1" applyFont="1" applyBorder="1" applyAlignment="1" applyProtection="1">
      <alignment horizontal="center" vertical="center" wrapText="1"/>
      <protection locked="0"/>
    </xf>
    <xf numFmtId="176" fontId="18" fillId="0" borderId="11" xfId="55" applyNumberFormat="1" applyFont="1" applyBorder="1" applyAlignment="1" applyProtection="1">
      <alignment horizontal="center" vertical="center" wrapText="1"/>
      <protection locked="0"/>
    </xf>
    <xf numFmtId="179" fontId="18" fillId="0" borderId="8" xfId="11" applyNumberFormat="1" applyFont="1" applyFill="1" applyBorder="1" applyAlignment="1" applyProtection="1">
      <alignment horizontal="center" vertical="center" wrapText="1"/>
      <protection locked="0"/>
    </xf>
    <xf numFmtId="0" fontId="18" fillId="0" borderId="3" xfId="0" applyFont="1" applyBorder="1" applyAlignment="1">
      <alignment horizontal="center" vertical="center"/>
    </xf>
    <xf numFmtId="179" fontId="18" fillId="0" borderId="8" xfId="55" applyNumberFormat="1" applyFont="1" applyBorder="1" applyAlignment="1" applyProtection="1">
      <alignment horizontal="center" vertical="center" wrapText="1"/>
      <protection locked="0"/>
    </xf>
    <xf numFmtId="179" fontId="19" fillId="0" borderId="7" xfId="0" applyNumberFormat="1" applyFont="1" applyBorder="1" applyAlignment="1">
      <alignment horizontal="center" vertical="center" wrapText="1"/>
    </xf>
    <xf numFmtId="176" fontId="18" fillId="0" borderId="12" xfId="55" applyNumberFormat="1" applyFont="1" applyBorder="1" applyAlignment="1" applyProtection="1">
      <alignment horizontal="center" vertical="center" wrapText="1"/>
      <protection locked="0"/>
    </xf>
    <xf numFmtId="0" fontId="18" fillId="0" borderId="7" xfId="0" applyFont="1" applyBorder="1" applyAlignment="1">
      <alignment horizontal="center" vertical="center"/>
    </xf>
    <xf numFmtId="179" fontId="29" fillId="2" borderId="3" xfId="0" applyNumberFormat="1" applyFont="1" applyFill="1" applyBorder="1" applyAlignment="1">
      <alignment horizontal="right" vertical="center"/>
    </xf>
    <xf numFmtId="0" fontId="1" fillId="2" borderId="3" xfId="0" applyFont="1" applyFill="1" applyBorder="1">
      <alignment vertical="center"/>
    </xf>
    <xf numFmtId="179" fontId="1" fillId="2" borderId="3" xfId="11" applyNumberFormat="1" applyFont="1" applyFill="1" applyBorder="1">
      <alignment vertical="center"/>
    </xf>
    <xf numFmtId="179" fontId="29" fillId="3" borderId="3" xfId="0" applyNumberFormat="1" applyFont="1" applyFill="1" applyBorder="1" applyAlignment="1">
      <alignment horizontal="right" vertical="center"/>
    </xf>
    <xf numFmtId="0" fontId="0" fillId="3" borderId="3" xfId="0" applyFill="1" applyBorder="1">
      <alignment vertical="center"/>
    </xf>
    <xf numFmtId="179" fontId="0" fillId="0" borderId="3" xfId="0" applyNumberFormat="1" applyFill="1" applyBorder="1">
      <alignment vertical="center"/>
    </xf>
    <xf numFmtId="179" fontId="0" fillId="0" borderId="3" xfId="11" applyNumberFormat="1" applyFont="1" applyFill="1" applyBorder="1">
      <alignment vertical="center"/>
    </xf>
    <xf numFmtId="179" fontId="0" fillId="0" borderId="3" xfId="0" applyNumberFormat="1" applyBorder="1">
      <alignment vertical="center"/>
    </xf>
    <xf numFmtId="0" fontId="6" fillId="0" borderId="13" xfId="0" applyFont="1" applyBorder="1" applyAlignment="1">
      <alignment horizontal="left" vertical="center"/>
    </xf>
    <xf numFmtId="0" fontId="5" fillId="0" borderId="3" xfId="0" applyFont="1" applyFill="1" applyBorder="1" applyAlignment="1">
      <alignment horizontal="center" vertical="center"/>
    </xf>
    <xf numFmtId="0" fontId="5" fillId="0" borderId="3" xfId="0" applyFont="1" applyFill="1" applyBorder="1">
      <alignment vertical="center"/>
    </xf>
    <xf numFmtId="0" fontId="5" fillId="0" borderId="3" xfId="0" applyFont="1" applyBorder="1" applyAlignment="1">
      <alignment horizontal="center" vertical="center"/>
    </xf>
    <xf numFmtId="0" fontId="28" fillId="2" borderId="3" xfId="0" applyFont="1" applyFill="1" applyBorder="1" applyAlignment="1">
      <alignment horizontal="center" vertical="center"/>
    </xf>
    <xf numFmtId="0" fontId="5" fillId="3" borderId="3" xfId="0" applyFont="1" applyFill="1" applyBorder="1" applyAlignment="1">
      <alignment horizontal="center" vertical="center"/>
    </xf>
    <xf numFmtId="0" fontId="6" fillId="0" borderId="3" xfId="0" applyFont="1" applyBorder="1" applyAlignment="1">
      <alignment horizontal="center" vertical="center"/>
    </xf>
    <xf numFmtId="177" fontId="6" fillId="0" borderId="8" xfId="0" applyNumberFormat="1" applyFont="1" applyBorder="1" applyAlignment="1" applyProtection="1">
      <alignment vertical="center" wrapText="1"/>
      <protection locked="0"/>
    </xf>
    <xf numFmtId="176" fontId="6" fillId="0" borderId="3" xfId="0" applyNumberFormat="1" applyFont="1" applyBorder="1" applyAlignment="1">
      <alignment horizontal="right" vertical="center"/>
    </xf>
    <xf numFmtId="179" fontId="6" fillId="0" borderId="3" xfId="11" applyNumberFormat="1" applyFont="1" applyBorder="1">
      <alignment vertical="center"/>
    </xf>
    <xf numFmtId="176" fontId="6" fillId="0" borderId="3" xfId="0" applyNumberFormat="1" applyFont="1" applyBorder="1" applyAlignment="1">
      <alignment vertical="center" wrapText="1"/>
    </xf>
    <xf numFmtId="179" fontId="5" fillId="0" borderId="3" xfId="0" applyNumberFormat="1" applyFont="1" applyFill="1" applyBorder="1">
      <alignment vertical="center"/>
    </xf>
    <xf numFmtId="179" fontId="5" fillId="0" borderId="3" xfId="11" applyNumberFormat="1" applyFont="1" applyFill="1" applyBorder="1">
      <alignment vertical="center"/>
    </xf>
    <xf numFmtId="179" fontId="5" fillId="0" borderId="3" xfId="0" applyNumberFormat="1" applyFont="1" applyBorder="1">
      <alignment vertical="center"/>
    </xf>
    <xf numFmtId="0" fontId="28" fillId="2" borderId="3" xfId="0" applyFont="1" applyFill="1" applyBorder="1">
      <alignment vertical="center"/>
    </xf>
    <xf numFmtId="179" fontId="28" fillId="2" borderId="3" xfId="11" applyNumberFormat="1" applyFont="1" applyFill="1" applyBorder="1">
      <alignment vertical="center"/>
    </xf>
    <xf numFmtId="0" fontId="5" fillId="3" borderId="3" xfId="0" applyFont="1" applyFill="1" applyBorder="1">
      <alignment vertical="center"/>
    </xf>
    <xf numFmtId="179" fontId="6" fillId="0" borderId="3" xfId="0" applyNumberFormat="1" applyFont="1" applyBorder="1">
      <alignment vertical="center"/>
    </xf>
    <xf numFmtId="176" fontId="6" fillId="0" borderId="3" xfId="0" applyNumberFormat="1" applyFont="1" applyBorder="1">
      <alignment vertical="center"/>
    </xf>
    <xf numFmtId="0" fontId="6" fillId="0" borderId="3" xfId="0" applyFont="1" applyBorder="1" applyAlignment="1">
      <alignment vertical="center" wrapText="1"/>
    </xf>
    <xf numFmtId="176" fontId="23" fillId="0" borderId="0" xfId="0" applyNumberFormat="1" applyFont="1">
      <alignment vertical="center"/>
    </xf>
    <xf numFmtId="176" fontId="24" fillId="0" borderId="0" xfId="0" applyNumberFormat="1" applyFont="1" applyAlignment="1">
      <alignment horizontal="center" vertical="center" wrapText="1"/>
    </xf>
    <xf numFmtId="176" fontId="15" fillId="0" borderId="0" xfId="55" applyNumberFormat="1" applyAlignment="1">
      <alignment vertical="center" wrapText="1"/>
    </xf>
    <xf numFmtId="176" fontId="15" fillId="0" borderId="9" xfId="55" applyNumberFormat="1" applyBorder="1" applyAlignment="1">
      <alignment vertical="center" wrapText="1"/>
    </xf>
    <xf numFmtId="179" fontId="15" fillId="0" borderId="9" xfId="55" applyNumberFormat="1" applyBorder="1" applyAlignment="1">
      <alignment vertical="center" wrapText="1"/>
    </xf>
    <xf numFmtId="176" fontId="18" fillId="0" borderId="7" xfId="4" applyNumberFormat="1" applyFont="1" applyFill="1" applyBorder="1" applyAlignment="1" applyProtection="1">
      <alignment horizontal="center" vertical="center" wrapText="1"/>
      <protection locked="0"/>
    </xf>
    <xf numFmtId="176" fontId="18" fillId="0" borderId="4" xfId="55" applyNumberFormat="1" applyFont="1" applyBorder="1" applyAlignment="1" applyProtection="1">
      <alignment horizontal="center" vertical="center" wrapText="1"/>
      <protection locked="0"/>
    </xf>
    <xf numFmtId="179" fontId="19" fillId="0" borderId="3" xfId="11" applyNumberFormat="1" applyFont="1" applyFill="1" applyBorder="1" applyAlignment="1">
      <alignment horizontal="center" vertical="center" wrapText="1"/>
    </xf>
    <xf numFmtId="179" fontId="19" fillId="0" borderId="3" xfId="0" applyNumberFormat="1" applyFont="1" applyBorder="1" applyAlignment="1">
      <alignment horizontal="center" vertical="center" wrapText="1"/>
    </xf>
    <xf numFmtId="176" fontId="18" fillId="4" borderId="4" xfId="0" applyNumberFormat="1" applyFont="1" applyFill="1" applyBorder="1">
      <alignment vertical="center"/>
    </xf>
    <xf numFmtId="176" fontId="18" fillId="4" borderId="3" xfId="0" applyNumberFormat="1" applyFont="1" applyFill="1" applyBorder="1" applyAlignment="1">
      <alignment horizontal="right" vertical="center"/>
    </xf>
    <xf numFmtId="179" fontId="18" fillId="4" borderId="3" xfId="0" applyNumberFormat="1" applyFont="1" applyFill="1" applyBorder="1" applyAlignment="1">
      <alignment horizontal="right" vertical="center"/>
    </xf>
    <xf numFmtId="176" fontId="21" fillId="0" borderId="3" xfId="0" applyNumberFormat="1" applyFont="1" applyBorder="1">
      <alignment vertical="center"/>
    </xf>
    <xf numFmtId="176" fontId="21" fillId="0" borderId="3" xfId="53" applyNumberFormat="1" applyFont="1" applyBorder="1" applyAlignment="1">
      <alignment vertical="center"/>
    </xf>
    <xf numFmtId="179" fontId="21" fillId="0" borderId="3" xfId="0" applyNumberFormat="1" applyFont="1" applyBorder="1" applyAlignment="1">
      <alignment horizontal="right" vertical="center"/>
    </xf>
    <xf numFmtId="176" fontId="21" fillId="0" borderId="3" xfId="0" applyNumberFormat="1" applyFont="1" applyBorder="1" applyAlignment="1">
      <alignment horizontal="right" vertical="center"/>
    </xf>
    <xf numFmtId="179" fontId="18" fillId="0" borderId="3" xfId="0" applyNumberFormat="1" applyFont="1" applyBorder="1" applyAlignment="1">
      <alignment horizontal="right" vertical="center"/>
    </xf>
    <xf numFmtId="176" fontId="18" fillId="4" borderId="3" xfId="0" applyNumberFormat="1" applyFont="1" applyFill="1" applyBorder="1">
      <alignment vertical="center"/>
    </xf>
    <xf numFmtId="176" fontId="21" fillId="0" borderId="3" xfId="0" applyNumberFormat="1" applyFont="1" applyBorder="1" applyAlignment="1">
      <alignment vertical="center" wrapText="1"/>
    </xf>
    <xf numFmtId="179" fontId="21" fillId="0" borderId="3" xfId="0" applyNumberFormat="1" applyFont="1" applyBorder="1">
      <alignment vertical="center"/>
    </xf>
    <xf numFmtId="176" fontId="18" fillId="5" borderId="3" xfId="12" applyNumberFormat="1" applyFont="1" applyFill="1" applyBorder="1" applyAlignment="1">
      <alignment horizontal="distributed" vertical="center"/>
    </xf>
    <xf numFmtId="176" fontId="18" fillId="5" borderId="3" xfId="0" applyNumberFormat="1" applyFont="1" applyFill="1" applyBorder="1">
      <alignment vertical="center"/>
    </xf>
    <xf numFmtId="179" fontId="18" fillId="5" borderId="3" xfId="0" applyNumberFormat="1" applyFont="1" applyFill="1" applyBorder="1">
      <alignment vertical="center"/>
    </xf>
    <xf numFmtId="179" fontId="18" fillId="5" borderId="3" xfId="11" applyNumberFormat="1" applyFont="1" applyFill="1" applyBorder="1" applyAlignment="1">
      <alignment vertical="center"/>
    </xf>
    <xf numFmtId="176" fontId="18" fillId="4" borderId="3" xfId="0" applyNumberFormat="1" applyFont="1" applyFill="1" applyBorder="1" applyAlignment="1">
      <alignment vertical="center" wrapText="1"/>
    </xf>
    <xf numFmtId="179" fontId="18" fillId="4" borderId="3" xfId="11" applyNumberFormat="1" applyFont="1" applyFill="1" applyBorder="1" applyAlignment="1">
      <alignment vertical="center"/>
    </xf>
    <xf numFmtId="179" fontId="21" fillId="0" borderId="3" xfId="11" applyNumberFormat="1" applyFont="1" applyFill="1" applyBorder="1" applyAlignment="1">
      <alignment vertical="center"/>
    </xf>
    <xf numFmtId="176" fontId="21" fillId="0" borderId="3" xfId="51" applyNumberFormat="1" applyFont="1" applyBorder="1" applyAlignment="1">
      <alignment vertical="center" wrapText="1"/>
    </xf>
    <xf numFmtId="176" fontId="21" fillId="0" borderId="0" xfId="0" applyNumberFormat="1" applyFont="1" applyAlignment="1">
      <alignment horizontal="right" vertical="center"/>
    </xf>
    <xf numFmtId="176" fontId="18" fillId="0" borderId="7" xfId="0" applyNumberFormat="1" applyFont="1" applyBorder="1" applyAlignment="1">
      <alignment horizontal="center" vertical="center" wrapText="1"/>
    </xf>
    <xf numFmtId="176" fontId="18" fillId="0" borderId="12" xfId="0" applyNumberFormat="1" applyFont="1" applyBorder="1" applyAlignment="1">
      <alignment horizontal="center" vertical="center" wrapText="1"/>
    </xf>
    <xf numFmtId="176" fontId="18" fillId="0" borderId="4" xfId="0" applyNumberFormat="1" applyFont="1" applyBorder="1" applyAlignment="1">
      <alignment horizontal="center" vertical="center" wrapText="1"/>
    </xf>
    <xf numFmtId="176" fontId="18" fillId="4" borderId="3" xfId="0" applyNumberFormat="1" applyFont="1" applyFill="1" applyBorder="1" applyAlignment="1">
      <alignment horizontal="left" vertical="center" wrapText="1"/>
    </xf>
    <xf numFmtId="176" fontId="21" fillId="0" borderId="3" xfId="0" applyNumberFormat="1" applyFont="1" applyBorder="1" applyAlignment="1">
      <alignment horizontal="left" vertical="center" wrapText="1"/>
    </xf>
    <xf numFmtId="176" fontId="21" fillId="5" borderId="3" xfId="0" applyNumberFormat="1" applyFont="1" applyFill="1" applyBorder="1" applyAlignment="1">
      <alignment horizontal="left" vertical="center" wrapText="1"/>
    </xf>
    <xf numFmtId="179" fontId="18" fillId="4" borderId="3" xfId="0" applyNumberFormat="1" applyFont="1" applyFill="1" applyBorder="1">
      <alignment vertical="center"/>
    </xf>
    <xf numFmtId="176" fontId="18" fillId="4" borderId="3" xfId="53" applyNumberFormat="1" applyFont="1" applyFill="1" applyBorder="1" applyAlignment="1">
      <alignment vertical="center"/>
    </xf>
    <xf numFmtId="176" fontId="18" fillId="4" borderId="3" xfId="0" applyNumberFormat="1" applyFont="1" applyFill="1" applyBorder="1" applyProtection="1">
      <alignment vertical="center"/>
      <protection locked="0"/>
    </xf>
    <xf numFmtId="176" fontId="23" fillId="2" borderId="3" xfId="12" applyNumberFormat="1" applyFont="1" applyFill="1" applyBorder="1" applyAlignment="1">
      <alignment horizontal="distributed" vertical="center"/>
    </xf>
    <xf numFmtId="176" fontId="18" fillId="2" borderId="3" xfId="0" applyNumberFormat="1" applyFont="1" applyFill="1" applyBorder="1">
      <alignment vertical="center"/>
    </xf>
    <xf numFmtId="179" fontId="18" fillId="2" borderId="3" xfId="0" applyNumberFormat="1" applyFont="1" applyFill="1" applyBorder="1">
      <alignment vertical="center"/>
    </xf>
    <xf numFmtId="179" fontId="18" fillId="2" borderId="3" xfId="11" applyNumberFormat="1" applyFont="1" applyFill="1" applyBorder="1" applyAlignment="1">
      <alignment vertical="center"/>
    </xf>
    <xf numFmtId="176" fontId="23" fillId="4" borderId="3" xfId="0" applyNumberFormat="1" applyFont="1" applyFill="1" applyBorder="1" applyAlignment="1">
      <alignment vertical="center" wrapText="1"/>
    </xf>
    <xf numFmtId="176" fontId="15" fillId="0" borderId="3" xfId="0" applyNumberFormat="1" applyFont="1" applyBorder="1" applyAlignment="1">
      <alignment vertical="center" wrapText="1"/>
    </xf>
    <xf numFmtId="176" fontId="23" fillId="2" borderId="3" xfId="0" applyNumberFormat="1" applyFont="1" applyFill="1" applyBorder="1" applyAlignment="1">
      <alignmen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市本级2018年财政预算表 "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116"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40" xfId="51"/>
    <cellStyle name="常规 2" xfId="52"/>
    <cellStyle name="常规 2 10 3" xfId="53"/>
    <cellStyle name="常规_2013年政府性基金预算草案0109陈改" xfId="54"/>
    <cellStyle name="常规_Sheet1" xfId="55"/>
    <cellStyle name="常规_广西壮族自治区全区与自治区本级2012年预算执行情况和2013年预算（草案）（最终）" xfId="56"/>
    <cellStyle name="常规_市本级2018年财政预算表  3" xfId="57"/>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116"/>
  <sheetViews>
    <sheetView workbookViewId="0">
      <pane xSplit="1" ySplit="6" topLeftCell="B76" activePane="bottomRight" state="frozen"/>
      <selection/>
      <selection pane="topRight"/>
      <selection pane="bottomLeft"/>
      <selection pane="bottomRight" activeCell="Q109" sqref="Q109"/>
    </sheetView>
  </sheetViews>
  <sheetFormatPr defaultColWidth="9" defaultRowHeight="14.25"/>
  <cols>
    <col min="1" max="1" width="50.3333333333333" style="173" customWidth="1"/>
    <col min="2" max="2" width="8.88333333333333" style="173" customWidth="1"/>
    <col min="3" max="3" width="9.21666666666667" style="173" hidden="1" customWidth="1"/>
    <col min="4" max="4" width="9.775" style="173" customWidth="1"/>
    <col min="5" max="5" width="11" style="203" customWidth="1"/>
    <col min="6" max="6" width="10.3333333333333" style="173" customWidth="1"/>
    <col min="7" max="7" width="9.775" style="173" customWidth="1"/>
    <col min="8" max="8" width="10.3333333333333" style="203" customWidth="1"/>
    <col min="9" max="9" width="9.33333333333333" style="173" customWidth="1"/>
    <col min="10" max="10" width="10" style="173" customWidth="1"/>
    <col min="11" max="11" width="10.1083333333333" style="203" customWidth="1"/>
    <col min="12" max="12" width="7.10833333333333" style="173" customWidth="1"/>
    <col min="13" max="16384" width="9" style="173"/>
  </cols>
  <sheetData>
    <row r="1" spans="1:1">
      <c r="A1" s="173" t="s">
        <v>0</v>
      </c>
    </row>
    <row r="2" ht="28.5" spans="1:12">
      <c r="A2" s="244" t="s">
        <v>1</v>
      </c>
      <c r="B2" s="244"/>
      <c r="C2" s="244"/>
      <c r="D2" s="244"/>
      <c r="E2" s="204"/>
      <c r="F2" s="244"/>
      <c r="G2" s="244"/>
      <c r="H2" s="204"/>
      <c r="I2" s="244"/>
      <c r="J2" s="244"/>
      <c r="K2" s="204"/>
      <c r="L2" s="244"/>
    </row>
    <row r="3" spans="1:12">
      <c r="A3" s="245"/>
      <c r="B3" s="245"/>
      <c r="C3" s="246"/>
      <c r="D3" s="246"/>
      <c r="E3" s="247"/>
      <c r="F3" s="246"/>
      <c r="G3" s="246"/>
      <c r="H3" s="247"/>
      <c r="I3" s="246"/>
      <c r="J3" s="246"/>
      <c r="K3" s="246"/>
      <c r="L3" s="271" t="s">
        <v>2</v>
      </c>
    </row>
    <row r="4" ht="13.5" spans="1:12">
      <c r="A4" s="35" t="s">
        <v>3</v>
      </c>
      <c r="B4" s="248" t="s">
        <v>4</v>
      </c>
      <c r="C4" s="248"/>
      <c r="D4" s="248"/>
      <c r="E4" s="248"/>
      <c r="F4" s="248"/>
      <c r="G4" s="248"/>
      <c r="H4" s="248"/>
      <c r="I4" s="30" t="s">
        <v>5</v>
      </c>
      <c r="J4" s="30"/>
      <c r="K4" s="206"/>
      <c r="L4" s="272" t="s">
        <v>6</v>
      </c>
    </row>
    <row r="5" ht="13.5" spans="1:12">
      <c r="A5" s="213"/>
      <c r="B5" s="30" t="s">
        <v>7</v>
      </c>
      <c r="C5" s="30" t="s">
        <v>8</v>
      </c>
      <c r="D5" s="30" t="s">
        <v>9</v>
      </c>
      <c r="E5" s="32" t="s">
        <v>10</v>
      </c>
      <c r="F5" s="30" t="s">
        <v>11</v>
      </c>
      <c r="G5" s="30" t="s">
        <v>12</v>
      </c>
      <c r="H5" s="206"/>
      <c r="I5" s="30" t="s">
        <v>13</v>
      </c>
      <c r="J5" s="30" t="s">
        <v>14</v>
      </c>
      <c r="K5" s="206"/>
      <c r="L5" s="273"/>
    </row>
    <row r="6" spans="1:12">
      <c r="A6" s="249"/>
      <c r="B6" s="35"/>
      <c r="C6" s="35"/>
      <c r="D6" s="35"/>
      <c r="E6" s="250"/>
      <c r="F6" s="30"/>
      <c r="G6" s="30" t="s">
        <v>15</v>
      </c>
      <c r="H6" s="251" t="s">
        <v>16</v>
      </c>
      <c r="I6" s="30"/>
      <c r="J6" s="30" t="s">
        <v>15</v>
      </c>
      <c r="K6" s="251" t="s">
        <v>16</v>
      </c>
      <c r="L6" s="274"/>
    </row>
    <row r="7" s="243" customFormat="1" spans="1:12">
      <c r="A7" s="252" t="s">
        <v>17</v>
      </c>
      <c r="B7" s="253">
        <f>SUM(B8:B22)</f>
        <v>3550</v>
      </c>
      <c r="C7" s="253">
        <f>SUM(C8:C22)</f>
        <v>3550</v>
      </c>
      <c r="D7" s="253">
        <f>SUM(D8:D22)</f>
        <v>2714</v>
      </c>
      <c r="E7" s="254">
        <f>D7/B7*100</f>
        <v>76.4507042253521</v>
      </c>
      <c r="F7" s="253">
        <f>SUM(F8:F22)</f>
        <v>3530</v>
      </c>
      <c r="G7" s="253">
        <f>D7-F7</f>
        <v>-816</v>
      </c>
      <c r="H7" s="254">
        <f>G7/F7*100</f>
        <v>-23.1161473087819</v>
      </c>
      <c r="I7" s="253">
        <f>SUM(I8:I22)</f>
        <v>2925</v>
      </c>
      <c r="J7" s="253">
        <f>I7-D7</f>
        <v>211</v>
      </c>
      <c r="K7" s="254">
        <f>J7/D7*100</f>
        <v>7.77450257921887</v>
      </c>
      <c r="L7" s="275"/>
    </row>
    <row r="8" ht="13.5" spans="1:12">
      <c r="A8" s="255" t="s">
        <v>18</v>
      </c>
      <c r="B8" s="256">
        <v>1600</v>
      </c>
      <c r="C8" s="256">
        <v>1600</v>
      </c>
      <c r="D8" s="256">
        <v>1289</v>
      </c>
      <c r="E8" s="257">
        <f t="shared" ref="E8:E32" si="0">D8/B8*100</f>
        <v>80.5625</v>
      </c>
      <c r="F8" s="256">
        <v>1347</v>
      </c>
      <c r="G8" s="258">
        <f>D8-F8</f>
        <v>-58</v>
      </c>
      <c r="H8" s="257">
        <f>G8/F8*100</f>
        <v>-4.30586488492947</v>
      </c>
      <c r="I8" s="256">
        <v>1375</v>
      </c>
      <c r="J8" s="258">
        <f>I8-D8</f>
        <v>86</v>
      </c>
      <c r="K8" s="257">
        <f>J8/D8*100</f>
        <v>6.67183863460047</v>
      </c>
      <c r="L8" s="261"/>
    </row>
    <row r="9" ht="13.5" spans="1:12">
      <c r="A9" s="255" t="s">
        <v>19</v>
      </c>
      <c r="B9" s="256">
        <v>495</v>
      </c>
      <c r="C9" s="256">
        <v>495</v>
      </c>
      <c r="D9" s="256">
        <v>135</v>
      </c>
      <c r="E9" s="257">
        <f t="shared" si="0"/>
        <v>27.2727272727273</v>
      </c>
      <c r="F9" s="256">
        <v>439</v>
      </c>
      <c r="G9" s="258">
        <f>D9-F9</f>
        <v>-304</v>
      </c>
      <c r="H9" s="257">
        <f>G9/F9*100</f>
        <v>-69.248291571754</v>
      </c>
      <c r="I9" s="256">
        <v>250</v>
      </c>
      <c r="J9" s="258">
        <f>I9-D9</f>
        <v>115</v>
      </c>
      <c r="K9" s="257">
        <f>J9/D9*100</f>
        <v>85.1851851851852</v>
      </c>
      <c r="L9" s="276"/>
    </row>
    <row r="10" ht="13.5" spans="1:12">
      <c r="A10" s="255" t="s">
        <v>20</v>
      </c>
      <c r="B10" s="256">
        <v>220</v>
      </c>
      <c r="C10" s="256">
        <v>220</v>
      </c>
      <c r="D10" s="256">
        <v>260</v>
      </c>
      <c r="E10" s="257">
        <f t="shared" si="0"/>
        <v>118.181818181818</v>
      </c>
      <c r="F10" s="256">
        <v>199</v>
      </c>
      <c r="G10" s="258">
        <f t="shared" ref="G10:G23" si="1">D10-F10</f>
        <v>61</v>
      </c>
      <c r="H10" s="257">
        <f t="shared" ref="H10:H23" si="2">G10/F10*100</f>
        <v>30.6532663316583</v>
      </c>
      <c r="I10" s="256">
        <v>250</v>
      </c>
      <c r="J10" s="258">
        <f t="shared" ref="J10:J23" si="3">I10-D10</f>
        <v>-10</v>
      </c>
      <c r="K10" s="257">
        <f t="shared" ref="K10:K23" si="4">J10/D10*100</f>
        <v>-3.84615384615385</v>
      </c>
      <c r="L10" s="276"/>
    </row>
    <row r="11" ht="13.5" spans="1:12">
      <c r="A11" s="255" t="s">
        <v>21</v>
      </c>
      <c r="B11" s="256"/>
      <c r="C11" s="256"/>
      <c r="D11" s="256"/>
      <c r="E11" s="257"/>
      <c r="F11" s="256"/>
      <c r="G11" s="258"/>
      <c r="H11" s="257"/>
      <c r="I11" s="256"/>
      <c r="J11" s="258"/>
      <c r="K11" s="257"/>
      <c r="L11" s="276"/>
    </row>
    <row r="12" ht="13.5" spans="1:12">
      <c r="A12" s="255" t="s">
        <v>22</v>
      </c>
      <c r="B12" s="256">
        <v>230</v>
      </c>
      <c r="C12" s="256">
        <v>230</v>
      </c>
      <c r="D12" s="256">
        <v>182</v>
      </c>
      <c r="E12" s="257">
        <f t="shared" si="0"/>
        <v>79.1304347826087</v>
      </c>
      <c r="F12" s="256">
        <v>211</v>
      </c>
      <c r="G12" s="258">
        <f t="shared" si="1"/>
        <v>-29</v>
      </c>
      <c r="H12" s="257">
        <f t="shared" si="2"/>
        <v>-13.7440758293839</v>
      </c>
      <c r="I12" s="256">
        <v>200</v>
      </c>
      <c r="J12" s="258">
        <f t="shared" si="3"/>
        <v>18</v>
      </c>
      <c r="K12" s="257">
        <f t="shared" si="4"/>
        <v>9.89010989010989</v>
      </c>
      <c r="L12" s="276"/>
    </row>
    <row r="13" ht="13.5" spans="1:12">
      <c r="A13" s="255" t="s">
        <v>23</v>
      </c>
      <c r="B13" s="256">
        <v>230</v>
      </c>
      <c r="C13" s="256">
        <v>230</v>
      </c>
      <c r="D13" s="256">
        <v>328</v>
      </c>
      <c r="E13" s="257">
        <f t="shared" si="0"/>
        <v>142.608695652174</v>
      </c>
      <c r="F13" s="256">
        <v>217</v>
      </c>
      <c r="G13" s="258">
        <f t="shared" si="1"/>
        <v>111</v>
      </c>
      <c r="H13" s="257">
        <f t="shared" si="2"/>
        <v>51.1520737327189</v>
      </c>
      <c r="I13" s="256">
        <v>300</v>
      </c>
      <c r="J13" s="258">
        <f t="shared" si="3"/>
        <v>-28</v>
      </c>
      <c r="K13" s="257">
        <f t="shared" si="4"/>
        <v>-8.53658536585366</v>
      </c>
      <c r="L13" s="276"/>
    </row>
    <row r="14" ht="13.5" spans="1:12">
      <c r="A14" s="255" t="s">
        <v>24</v>
      </c>
      <c r="B14" s="256">
        <v>400</v>
      </c>
      <c r="C14" s="256">
        <v>400</v>
      </c>
      <c r="D14" s="256">
        <v>294</v>
      </c>
      <c r="E14" s="257">
        <f t="shared" si="0"/>
        <v>73.5</v>
      </c>
      <c r="F14" s="256">
        <v>799</v>
      </c>
      <c r="G14" s="258">
        <f t="shared" si="1"/>
        <v>-505</v>
      </c>
      <c r="H14" s="257">
        <f t="shared" si="2"/>
        <v>-63.2040050062578</v>
      </c>
      <c r="I14" s="256">
        <v>300</v>
      </c>
      <c r="J14" s="258">
        <f t="shared" si="3"/>
        <v>6</v>
      </c>
      <c r="K14" s="257">
        <f t="shared" si="4"/>
        <v>2.04081632653061</v>
      </c>
      <c r="L14" s="276"/>
    </row>
    <row r="15" ht="13.5" spans="1:12">
      <c r="A15" s="255" t="s">
        <v>25</v>
      </c>
      <c r="B15" s="256">
        <v>75</v>
      </c>
      <c r="C15" s="256">
        <v>75</v>
      </c>
      <c r="D15" s="256">
        <v>65</v>
      </c>
      <c r="E15" s="257">
        <f t="shared" si="0"/>
        <v>86.6666666666667</v>
      </c>
      <c r="F15" s="256">
        <v>65</v>
      </c>
      <c r="G15" s="258">
        <f t="shared" si="1"/>
        <v>0</v>
      </c>
      <c r="H15" s="257">
        <f t="shared" si="2"/>
        <v>0</v>
      </c>
      <c r="I15" s="256">
        <v>70</v>
      </c>
      <c r="J15" s="258">
        <f t="shared" si="3"/>
        <v>5</v>
      </c>
      <c r="K15" s="257">
        <f t="shared" si="4"/>
        <v>7.69230769230769</v>
      </c>
      <c r="L15" s="276"/>
    </row>
    <row r="16" ht="13.5" spans="1:12">
      <c r="A16" s="255" t="s">
        <v>26</v>
      </c>
      <c r="B16" s="256">
        <v>150</v>
      </c>
      <c r="C16" s="256">
        <v>150</v>
      </c>
      <c r="D16" s="256">
        <v>34</v>
      </c>
      <c r="E16" s="257">
        <f t="shared" si="0"/>
        <v>22.6666666666667</v>
      </c>
      <c r="F16" s="256">
        <v>140</v>
      </c>
      <c r="G16" s="258">
        <f t="shared" si="1"/>
        <v>-106</v>
      </c>
      <c r="H16" s="257">
        <f t="shared" si="2"/>
        <v>-75.7142857142857</v>
      </c>
      <c r="I16" s="256">
        <v>50</v>
      </c>
      <c r="J16" s="258">
        <f t="shared" si="3"/>
        <v>16</v>
      </c>
      <c r="K16" s="257">
        <f t="shared" si="4"/>
        <v>47.0588235294118</v>
      </c>
      <c r="L16" s="276"/>
    </row>
    <row r="17" ht="13.5" spans="1:12">
      <c r="A17" s="255" t="s">
        <v>27</v>
      </c>
      <c r="B17" s="256">
        <v>150</v>
      </c>
      <c r="C17" s="256">
        <v>150</v>
      </c>
      <c r="D17" s="256">
        <v>126</v>
      </c>
      <c r="E17" s="257">
        <f t="shared" si="0"/>
        <v>84</v>
      </c>
      <c r="F17" s="256">
        <v>114</v>
      </c>
      <c r="G17" s="258">
        <f t="shared" si="1"/>
        <v>12</v>
      </c>
      <c r="H17" s="257">
        <f t="shared" si="2"/>
        <v>10.5263157894737</v>
      </c>
      <c r="I17" s="256">
        <v>130</v>
      </c>
      <c r="J17" s="258">
        <f t="shared" si="3"/>
        <v>4</v>
      </c>
      <c r="K17" s="257">
        <f t="shared" si="4"/>
        <v>3.17460317460317</v>
      </c>
      <c r="L17" s="276"/>
    </row>
    <row r="18" ht="13.5" spans="1:12">
      <c r="A18" s="255" t="s">
        <v>28</v>
      </c>
      <c r="B18" s="258"/>
      <c r="C18" s="258"/>
      <c r="D18" s="256">
        <v>1</v>
      </c>
      <c r="E18" s="259"/>
      <c r="F18" s="256">
        <v>-1</v>
      </c>
      <c r="G18" s="258">
        <f t="shared" si="1"/>
        <v>2</v>
      </c>
      <c r="H18" s="257"/>
      <c r="I18" s="258"/>
      <c r="J18" s="258">
        <f t="shared" si="3"/>
        <v>-1</v>
      </c>
      <c r="K18" s="257"/>
      <c r="L18" s="276"/>
    </row>
    <row r="19" ht="13.5" spans="1:12">
      <c r="A19" s="255" t="s">
        <v>29</v>
      </c>
      <c r="B19" s="258"/>
      <c r="C19" s="258"/>
      <c r="D19" s="256"/>
      <c r="E19" s="259"/>
      <c r="F19" s="256"/>
      <c r="G19" s="258"/>
      <c r="H19" s="257"/>
      <c r="I19" s="258"/>
      <c r="J19" s="258"/>
      <c r="K19" s="257"/>
      <c r="L19" s="276"/>
    </row>
    <row r="20" ht="13.5" spans="1:12">
      <c r="A20" s="255" t="s">
        <v>30</v>
      </c>
      <c r="B20" s="258"/>
      <c r="C20" s="258"/>
      <c r="D20" s="256"/>
      <c r="E20" s="259"/>
      <c r="F20" s="256"/>
      <c r="G20" s="258"/>
      <c r="H20" s="257"/>
      <c r="I20" s="258"/>
      <c r="J20" s="258"/>
      <c r="K20" s="257"/>
      <c r="L20" s="276"/>
    </row>
    <row r="21" ht="13.5" spans="1:12">
      <c r="A21" s="255" t="s">
        <v>31</v>
      </c>
      <c r="B21" s="258"/>
      <c r="C21" s="258"/>
      <c r="D21" s="258"/>
      <c r="E21" s="259"/>
      <c r="F21" s="258"/>
      <c r="G21" s="258"/>
      <c r="H21" s="257"/>
      <c r="I21" s="258"/>
      <c r="J21" s="258"/>
      <c r="K21" s="257"/>
      <c r="L21" s="276"/>
    </row>
    <row r="22" ht="13.5" spans="1:12">
      <c r="A22" s="255" t="s">
        <v>32</v>
      </c>
      <c r="B22" s="258"/>
      <c r="C22" s="258"/>
      <c r="D22" s="258"/>
      <c r="E22" s="259"/>
      <c r="F22" s="258"/>
      <c r="G22" s="258"/>
      <c r="H22" s="257"/>
      <c r="I22" s="258"/>
      <c r="J22" s="258"/>
      <c r="K22" s="257"/>
      <c r="L22" s="276"/>
    </row>
    <row r="23" s="243" customFormat="1" spans="1:12">
      <c r="A23" s="260" t="s">
        <v>33</v>
      </c>
      <c r="B23" s="253">
        <f>B24+B25+B26+B27+B28+B29+B30+B31</f>
        <v>1980</v>
      </c>
      <c r="C23" s="253">
        <f>C24+C25+C26+C27+C28+C29+C30+C31</f>
        <v>1980</v>
      </c>
      <c r="D23" s="253">
        <f>D24+D25+D26+D27+D28+D29+D30+D31</f>
        <v>2246</v>
      </c>
      <c r="E23" s="254">
        <f t="shared" si="0"/>
        <v>113.434343434343</v>
      </c>
      <c r="F23" s="253">
        <f>F24+F25+F26+F27+F28+F29+F30+F31</f>
        <v>1734</v>
      </c>
      <c r="G23" s="253">
        <f t="shared" si="1"/>
        <v>512</v>
      </c>
      <c r="H23" s="254">
        <f t="shared" si="2"/>
        <v>29.5271049596309</v>
      </c>
      <c r="I23" s="253">
        <f>I24+I25+I26+I27+I28+I29+I30+I31</f>
        <v>2210</v>
      </c>
      <c r="J23" s="253">
        <f t="shared" si="3"/>
        <v>-36</v>
      </c>
      <c r="K23" s="254">
        <f t="shared" si="4"/>
        <v>-1.60284951024043</v>
      </c>
      <c r="L23" s="275"/>
    </row>
    <row r="24" ht="13.5" spans="1:12">
      <c r="A24" s="255" t="s">
        <v>34</v>
      </c>
      <c r="B24" s="258"/>
      <c r="C24" s="258"/>
      <c r="D24" s="258"/>
      <c r="E24" s="259"/>
      <c r="F24" s="258"/>
      <c r="G24" s="258"/>
      <c r="H24" s="257"/>
      <c r="I24" s="258"/>
      <c r="J24" s="258"/>
      <c r="K24" s="257"/>
      <c r="L24" s="276"/>
    </row>
    <row r="25" ht="13.5" spans="1:12">
      <c r="A25" s="255" t="s">
        <v>35</v>
      </c>
      <c r="B25" s="256">
        <v>400</v>
      </c>
      <c r="C25" s="256">
        <v>400</v>
      </c>
      <c r="D25" s="256">
        <v>578</v>
      </c>
      <c r="E25" s="257">
        <f t="shared" si="0"/>
        <v>144.5</v>
      </c>
      <c r="F25" s="256">
        <v>385</v>
      </c>
      <c r="G25" s="258">
        <f t="shared" ref="G25:G32" si="5">D25-F25</f>
        <v>193</v>
      </c>
      <c r="H25" s="257">
        <f t="shared" ref="H25:H32" si="6">G25/F25*100</f>
        <v>50.1298701298701</v>
      </c>
      <c r="I25" s="256">
        <v>450</v>
      </c>
      <c r="J25" s="258">
        <f t="shared" ref="J25:J32" si="7">I25-D25</f>
        <v>-128</v>
      </c>
      <c r="K25" s="257">
        <f t="shared" ref="K25:K32" si="8">J25/D25*100</f>
        <v>-22.1453287197232</v>
      </c>
      <c r="L25" s="276"/>
    </row>
    <row r="26" ht="13.5" spans="1:12">
      <c r="A26" s="255" t="s">
        <v>36</v>
      </c>
      <c r="B26" s="256">
        <v>980</v>
      </c>
      <c r="C26" s="256">
        <v>980</v>
      </c>
      <c r="D26" s="256">
        <v>704</v>
      </c>
      <c r="E26" s="257">
        <f t="shared" si="0"/>
        <v>71.8367346938775</v>
      </c>
      <c r="F26" s="256">
        <v>779</v>
      </c>
      <c r="G26" s="258">
        <f t="shared" si="5"/>
        <v>-75</v>
      </c>
      <c r="H26" s="257">
        <f t="shared" si="6"/>
        <v>-9.62772785622593</v>
      </c>
      <c r="I26" s="256">
        <v>960</v>
      </c>
      <c r="J26" s="258">
        <f t="shared" si="7"/>
        <v>256</v>
      </c>
      <c r="K26" s="257">
        <f t="shared" si="8"/>
        <v>36.3636363636364</v>
      </c>
      <c r="L26" s="276"/>
    </row>
    <row r="27" ht="13.5" spans="1:12">
      <c r="A27" s="255" t="s">
        <v>37</v>
      </c>
      <c r="B27" s="256"/>
      <c r="C27" s="256"/>
      <c r="D27" s="256"/>
      <c r="E27" s="257"/>
      <c r="F27" s="256"/>
      <c r="G27" s="258"/>
      <c r="H27" s="257"/>
      <c r="I27" s="256"/>
      <c r="J27" s="258"/>
      <c r="K27" s="257"/>
      <c r="L27" s="276"/>
    </row>
    <row r="28" ht="13.5" spans="1:12">
      <c r="A28" s="261" t="s">
        <v>38</v>
      </c>
      <c r="B28" s="256">
        <v>600</v>
      </c>
      <c r="C28" s="256">
        <v>600</v>
      </c>
      <c r="D28" s="256">
        <v>964</v>
      </c>
      <c r="E28" s="257">
        <f t="shared" si="0"/>
        <v>160.666666666667</v>
      </c>
      <c r="F28" s="256">
        <v>570</v>
      </c>
      <c r="G28" s="258">
        <f t="shared" si="5"/>
        <v>394</v>
      </c>
      <c r="H28" s="257">
        <f t="shared" si="6"/>
        <v>69.1228070175439</v>
      </c>
      <c r="I28" s="256">
        <v>800</v>
      </c>
      <c r="J28" s="258">
        <f t="shared" si="7"/>
        <v>-164</v>
      </c>
      <c r="K28" s="257">
        <f t="shared" si="8"/>
        <v>-17.0124481327801</v>
      </c>
      <c r="L28" s="276"/>
    </row>
    <row r="29" ht="13.5" spans="1:12">
      <c r="A29" s="255" t="s">
        <v>39</v>
      </c>
      <c r="B29" s="255"/>
      <c r="C29" s="255"/>
      <c r="D29" s="256"/>
      <c r="E29" s="259"/>
      <c r="F29" s="256"/>
      <c r="G29" s="255"/>
      <c r="H29" s="257"/>
      <c r="I29" s="255"/>
      <c r="J29" s="258"/>
      <c r="K29" s="257"/>
      <c r="L29" s="276"/>
    </row>
    <row r="30" ht="13.5" spans="1:12">
      <c r="A30" s="255" t="s">
        <v>40</v>
      </c>
      <c r="B30" s="255"/>
      <c r="C30" s="255"/>
      <c r="D30" s="256"/>
      <c r="E30" s="259"/>
      <c r="F30" s="256"/>
      <c r="G30" s="255"/>
      <c r="H30" s="257"/>
      <c r="I30" s="255"/>
      <c r="J30" s="258"/>
      <c r="K30" s="257"/>
      <c r="L30" s="276"/>
    </row>
    <row r="31" ht="13.5" spans="1:12">
      <c r="A31" s="255" t="s">
        <v>41</v>
      </c>
      <c r="B31" s="255"/>
      <c r="C31" s="255"/>
      <c r="D31" s="255"/>
      <c r="E31" s="259"/>
      <c r="F31" s="255"/>
      <c r="G31" s="255"/>
      <c r="H31" s="262"/>
      <c r="I31" s="255"/>
      <c r="J31" s="258"/>
      <c r="K31" s="257"/>
      <c r="L31" s="276"/>
    </row>
    <row r="32" ht="13.5" spans="1:12">
      <c r="A32" s="263" t="s">
        <v>42</v>
      </c>
      <c r="B32" s="264">
        <f>B23+B7</f>
        <v>5530</v>
      </c>
      <c r="C32" s="264">
        <f>C23+C7</f>
        <v>5530</v>
      </c>
      <c r="D32" s="264">
        <f>D23+D7</f>
        <v>4960</v>
      </c>
      <c r="E32" s="265">
        <f t="shared" si="0"/>
        <v>89.6925858951175</v>
      </c>
      <c r="F32" s="264">
        <f>F23+F7</f>
        <v>5264</v>
      </c>
      <c r="G32" s="264">
        <f t="shared" si="5"/>
        <v>-304</v>
      </c>
      <c r="H32" s="265">
        <f t="shared" si="6"/>
        <v>-5.77507598784195</v>
      </c>
      <c r="I32" s="264">
        <f>I23+I7</f>
        <v>5135</v>
      </c>
      <c r="J32" s="264">
        <f t="shared" si="7"/>
        <v>175</v>
      </c>
      <c r="K32" s="265">
        <f t="shared" si="8"/>
        <v>3.52822580645161</v>
      </c>
      <c r="L32" s="277"/>
    </row>
    <row r="33" ht="13.5" spans="1:12">
      <c r="A33" s="263" t="s">
        <v>43</v>
      </c>
      <c r="B33" s="264">
        <f>B34+B100+B103+B106+B107+B108+B109</f>
        <v>56890</v>
      </c>
      <c r="C33" s="264">
        <f>C34+C100+C103+C106+C107+C108+C109</f>
        <v>72150</v>
      </c>
      <c r="D33" s="264">
        <f>D34+D100+D103+D106+D107+D108+D109</f>
        <v>92698</v>
      </c>
      <c r="E33" s="266"/>
      <c r="F33" s="264"/>
      <c r="G33" s="264"/>
      <c r="H33" s="266"/>
      <c r="I33" s="264">
        <f>I34+I100+I103+I106+I107+I108+I109</f>
        <v>49135</v>
      </c>
      <c r="J33" s="264"/>
      <c r="K33" s="265"/>
      <c r="L33" s="277"/>
    </row>
    <row r="34" s="243" customFormat="1" spans="1:12">
      <c r="A34" s="267" t="s">
        <v>44</v>
      </c>
      <c r="B34" s="260">
        <f>B35+B42+B78</f>
        <v>29812</v>
      </c>
      <c r="C34" s="260">
        <f>C35+C42+C78</f>
        <v>41925</v>
      </c>
      <c r="D34" s="260">
        <f>D35+D42+D78</f>
        <v>60163</v>
      </c>
      <c r="E34" s="268"/>
      <c r="F34" s="260"/>
      <c r="G34" s="260"/>
      <c r="H34" s="268"/>
      <c r="I34" s="260">
        <f>I35+I42+I78</f>
        <v>30271</v>
      </c>
      <c r="J34" s="260"/>
      <c r="K34" s="278"/>
      <c r="L34" s="275"/>
    </row>
    <row r="35" s="243" customFormat="1" spans="1:12">
      <c r="A35" s="267" t="s">
        <v>45</v>
      </c>
      <c r="B35" s="260">
        <f>SUM(B36:B41)</f>
        <v>1952</v>
      </c>
      <c r="C35" s="260">
        <f>SUM(C36:C41)</f>
        <v>1952</v>
      </c>
      <c r="D35" s="260">
        <f>SUM(D36:D41)</f>
        <v>1952</v>
      </c>
      <c r="E35" s="268"/>
      <c r="F35" s="260"/>
      <c r="G35" s="260"/>
      <c r="H35" s="268"/>
      <c r="I35" s="260">
        <f>SUM(I36:I41)</f>
        <v>1952</v>
      </c>
      <c r="J35" s="260"/>
      <c r="K35" s="278"/>
      <c r="L35" s="275"/>
    </row>
    <row r="36" ht="13.5" spans="1:12">
      <c r="A36" s="261" t="s">
        <v>46</v>
      </c>
      <c r="B36" s="256">
        <v>378</v>
      </c>
      <c r="C36" s="256">
        <v>378</v>
      </c>
      <c r="D36" s="256">
        <v>378</v>
      </c>
      <c r="E36" s="269"/>
      <c r="F36" s="256"/>
      <c r="G36" s="255"/>
      <c r="H36" s="269"/>
      <c r="I36" s="256">
        <v>378</v>
      </c>
      <c r="J36" s="255"/>
      <c r="K36" s="262"/>
      <c r="L36" s="276"/>
    </row>
    <row r="37" ht="13.5" spans="1:12">
      <c r="A37" s="261" t="s">
        <v>47</v>
      </c>
      <c r="B37" s="256"/>
      <c r="C37" s="256"/>
      <c r="D37" s="256"/>
      <c r="E37" s="269"/>
      <c r="F37" s="256"/>
      <c r="G37" s="255"/>
      <c r="H37" s="269"/>
      <c r="I37" s="256"/>
      <c r="J37" s="255"/>
      <c r="K37" s="262"/>
      <c r="L37" s="276"/>
    </row>
    <row r="38" ht="13.5" spans="1:12">
      <c r="A38" s="261" t="s">
        <v>48</v>
      </c>
      <c r="B38" s="256">
        <v>473</v>
      </c>
      <c r="C38" s="256">
        <v>473</v>
      </c>
      <c r="D38" s="256">
        <v>473</v>
      </c>
      <c r="E38" s="269"/>
      <c r="F38" s="256"/>
      <c r="G38" s="255"/>
      <c r="H38" s="269"/>
      <c r="I38" s="256">
        <v>473</v>
      </c>
      <c r="J38" s="255"/>
      <c r="K38" s="262"/>
      <c r="L38" s="276"/>
    </row>
    <row r="39" ht="13.5" spans="1:12">
      <c r="A39" s="261" t="s">
        <v>49</v>
      </c>
      <c r="B39" s="256"/>
      <c r="C39" s="256"/>
      <c r="D39" s="256"/>
      <c r="E39" s="269"/>
      <c r="F39" s="256"/>
      <c r="G39" s="255"/>
      <c r="H39" s="269"/>
      <c r="I39" s="256"/>
      <c r="J39" s="255"/>
      <c r="K39" s="262"/>
      <c r="L39" s="276"/>
    </row>
    <row r="40" ht="13.5" spans="1:12">
      <c r="A40" s="261" t="s">
        <v>50</v>
      </c>
      <c r="B40" s="256">
        <v>733</v>
      </c>
      <c r="C40" s="256">
        <v>733</v>
      </c>
      <c r="D40" s="256">
        <v>733</v>
      </c>
      <c r="E40" s="269"/>
      <c r="F40" s="256"/>
      <c r="G40" s="255"/>
      <c r="H40" s="269"/>
      <c r="I40" s="256">
        <v>733</v>
      </c>
      <c r="J40" s="255"/>
      <c r="K40" s="262"/>
      <c r="L40" s="276"/>
    </row>
    <row r="41" ht="13.5" spans="1:12">
      <c r="A41" s="261" t="s">
        <v>51</v>
      </c>
      <c r="B41" s="255">
        <v>368</v>
      </c>
      <c r="C41" s="255">
        <v>368</v>
      </c>
      <c r="D41" s="255">
        <v>368</v>
      </c>
      <c r="E41" s="269"/>
      <c r="F41" s="255"/>
      <c r="G41" s="255"/>
      <c r="H41" s="269"/>
      <c r="I41" s="255">
        <v>368</v>
      </c>
      <c r="J41" s="255"/>
      <c r="K41" s="262"/>
      <c r="L41" s="276"/>
    </row>
    <row r="42" s="243" customFormat="1" spans="1:12">
      <c r="A42" s="267" t="s">
        <v>52</v>
      </c>
      <c r="B42" s="260">
        <f>SUM(B43:B77)</f>
        <v>26428</v>
      </c>
      <c r="C42" s="260">
        <f>SUM(C43:C77)</f>
        <v>34871</v>
      </c>
      <c r="D42" s="260">
        <f>SUM(D43:D77)</f>
        <v>48969</v>
      </c>
      <c r="E42" s="268"/>
      <c r="F42" s="260"/>
      <c r="G42" s="260"/>
      <c r="H42" s="268"/>
      <c r="I42" s="260">
        <f>SUM(I43:I77)</f>
        <v>28319</v>
      </c>
      <c r="J42" s="260"/>
      <c r="K42" s="278"/>
      <c r="L42" s="275"/>
    </row>
    <row r="43" ht="13.5" spans="1:12">
      <c r="A43" s="270" t="s">
        <v>53</v>
      </c>
      <c r="B43" s="256">
        <v>2915</v>
      </c>
      <c r="C43" s="256">
        <v>2915</v>
      </c>
      <c r="D43" s="256">
        <v>2915</v>
      </c>
      <c r="E43" s="269"/>
      <c r="F43" s="256"/>
      <c r="G43" s="255"/>
      <c r="H43" s="269"/>
      <c r="I43" s="256">
        <v>2915</v>
      </c>
      <c r="J43" s="255"/>
      <c r="K43" s="262"/>
      <c r="L43" s="276"/>
    </row>
    <row r="44" ht="13.5" spans="1:12">
      <c r="A44" s="270" t="s">
        <v>54</v>
      </c>
      <c r="B44" s="256">
        <v>4881</v>
      </c>
      <c r="C44" s="256">
        <v>4881</v>
      </c>
      <c r="D44" s="256">
        <v>14956</v>
      </c>
      <c r="E44" s="269"/>
      <c r="F44" s="256"/>
      <c r="G44" s="255"/>
      <c r="H44" s="269"/>
      <c r="I44" s="256">
        <v>5384</v>
      </c>
      <c r="J44" s="255"/>
      <c r="K44" s="262"/>
      <c r="L44" s="276"/>
    </row>
    <row r="45" ht="13.5" spans="1:12">
      <c r="A45" s="270" t="s">
        <v>55</v>
      </c>
      <c r="B45" s="256">
        <v>2110</v>
      </c>
      <c r="C45" s="256">
        <v>4483</v>
      </c>
      <c r="D45" s="256">
        <v>6398</v>
      </c>
      <c r="E45" s="269"/>
      <c r="F45" s="256"/>
      <c r="G45" s="255"/>
      <c r="H45" s="269"/>
      <c r="I45" s="256">
        <v>4483</v>
      </c>
      <c r="J45" s="255"/>
      <c r="K45" s="262"/>
      <c r="L45" s="276"/>
    </row>
    <row r="46" ht="13.5" spans="1:12">
      <c r="A46" s="270" t="s">
        <v>56</v>
      </c>
      <c r="B46" s="256">
        <v>232</v>
      </c>
      <c r="C46" s="256">
        <v>232</v>
      </c>
      <c r="D46" s="256">
        <f>1143+422</f>
        <v>1565</v>
      </c>
      <c r="E46" s="269"/>
      <c r="F46" s="256"/>
      <c r="G46" s="255"/>
      <c r="H46" s="269"/>
      <c r="I46" s="256">
        <v>413</v>
      </c>
      <c r="J46" s="255"/>
      <c r="K46" s="262"/>
      <c r="L46" s="276"/>
    </row>
    <row r="47" ht="13.5" spans="1:12">
      <c r="A47" s="270" t="s">
        <v>57</v>
      </c>
      <c r="B47" s="256"/>
      <c r="C47" s="256"/>
      <c r="D47" s="256"/>
      <c r="E47" s="269"/>
      <c r="F47" s="256"/>
      <c r="G47" s="255"/>
      <c r="H47" s="269"/>
      <c r="I47" s="256"/>
      <c r="J47" s="255"/>
      <c r="K47" s="262"/>
      <c r="L47" s="276"/>
    </row>
    <row r="48" ht="13.5" spans="1:12">
      <c r="A48" s="270" t="s">
        <v>58</v>
      </c>
      <c r="B48" s="256"/>
      <c r="C48" s="256"/>
      <c r="D48" s="256"/>
      <c r="E48" s="269"/>
      <c r="F48" s="256"/>
      <c r="G48" s="255"/>
      <c r="H48" s="269"/>
      <c r="I48" s="256"/>
      <c r="J48" s="255"/>
      <c r="K48" s="262"/>
      <c r="L48" s="276"/>
    </row>
    <row r="49" ht="13.5" spans="1:12">
      <c r="A49" s="270" t="s">
        <v>59</v>
      </c>
      <c r="B49" s="256"/>
      <c r="C49" s="256"/>
      <c r="D49" s="256">
        <v>43</v>
      </c>
      <c r="E49" s="269"/>
      <c r="F49" s="256"/>
      <c r="G49" s="255"/>
      <c r="H49" s="269"/>
      <c r="I49" s="256"/>
      <c r="J49" s="255"/>
      <c r="K49" s="262"/>
      <c r="L49" s="276"/>
    </row>
    <row r="50" ht="13.5" spans="1:12">
      <c r="A50" s="270" t="s">
        <v>60</v>
      </c>
      <c r="B50" s="256"/>
      <c r="C50" s="256"/>
      <c r="D50" s="256">
        <v>200</v>
      </c>
      <c r="E50" s="269"/>
      <c r="F50" s="256"/>
      <c r="G50" s="255"/>
      <c r="H50" s="269"/>
      <c r="I50" s="256"/>
      <c r="J50" s="255"/>
      <c r="K50" s="262"/>
      <c r="L50" s="276"/>
    </row>
    <row r="51" ht="13.5" spans="1:12">
      <c r="A51" s="270" t="s">
        <v>61</v>
      </c>
      <c r="B51" s="256">
        <v>1957</v>
      </c>
      <c r="C51" s="256">
        <v>1957</v>
      </c>
      <c r="D51" s="256">
        <v>1867</v>
      </c>
      <c r="E51" s="269"/>
      <c r="F51" s="256"/>
      <c r="G51" s="255"/>
      <c r="H51" s="269"/>
      <c r="I51" s="256">
        <v>1759</v>
      </c>
      <c r="J51" s="255"/>
      <c r="K51" s="262"/>
      <c r="L51" s="276"/>
    </row>
    <row r="52" ht="13.5" spans="1:12">
      <c r="A52" s="270" t="s">
        <v>62</v>
      </c>
      <c r="B52" s="256"/>
      <c r="C52" s="256"/>
      <c r="D52" s="256"/>
      <c r="E52" s="269"/>
      <c r="F52" s="256"/>
      <c r="G52" s="255"/>
      <c r="H52" s="269"/>
      <c r="I52" s="256"/>
      <c r="J52" s="255"/>
      <c r="K52" s="262"/>
      <c r="L52" s="276"/>
    </row>
    <row r="53" ht="13.5" spans="1:12">
      <c r="A53" s="270" t="s">
        <v>63</v>
      </c>
      <c r="B53" s="256"/>
      <c r="C53" s="256"/>
      <c r="D53" s="256"/>
      <c r="E53" s="269"/>
      <c r="F53" s="256"/>
      <c r="G53" s="255"/>
      <c r="H53" s="269"/>
      <c r="I53" s="256"/>
      <c r="J53" s="255"/>
      <c r="K53" s="262"/>
      <c r="L53" s="276"/>
    </row>
    <row r="54" ht="13.5" spans="1:12">
      <c r="A54" s="270" t="s">
        <v>64</v>
      </c>
      <c r="B54" s="256"/>
      <c r="C54" s="256"/>
      <c r="D54" s="256"/>
      <c r="E54" s="269"/>
      <c r="F54" s="256"/>
      <c r="G54" s="255"/>
      <c r="H54" s="269"/>
      <c r="I54" s="256"/>
      <c r="J54" s="255"/>
      <c r="K54" s="262"/>
      <c r="L54" s="276"/>
    </row>
    <row r="55" ht="13.5" spans="1:12">
      <c r="A55" s="270" t="s">
        <v>65</v>
      </c>
      <c r="B55" s="256">
        <v>2727</v>
      </c>
      <c r="C55" s="256">
        <v>4352</v>
      </c>
      <c r="D55" s="256">
        <f>3709+643</f>
        <v>4352</v>
      </c>
      <c r="E55" s="269"/>
      <c r="F55" s="256"/>
      <c r="G55" s="255"/>
      <c r="H55" s="269"/>
      <c r="I55" s="256">
        <v>3012</v>
      </c>
      <c r="J55" s="255"/>
      <c r="K55" s="262"/>
      <c r="L55" s="276"/>
    </row>
    <row r="56" ht="13.5" spans="1:12">
      <c r="A56" s="270" t="s">
        <v>66</v>
      </c>
      <c r="B56" s="256"/>
      <c r="C56" s="256"/>
      <c r="D56" s="256"/>
      <c r="E56" s="269"/>
      <c r="F56" s="256"/>
      <c r="G56" s="255"/>
      <c r="H56" s="269"/>
      <c r="I56" s="256"/>
      <c r="J56" s="255"/>
      <c r="K56" s="262"/>
      <c r="L56" s="276"/>
    </row>
    <row r="57" ht="13.5" spans="1:12">
      <c r="A57" s="270" t="s">
        <v>67</v>
      </c>
      <c r="B57" s="256"/>
      <c r="C57" s="256"/>
      <c r="D57" s="256"/>
      <c r="E57" s="269"/>
      <c r="F57" s="256"/>
      <c r="G57" s="255"/>
      <c r="H57" s="269"/>
      <c r="I57" s="256"/>
      <c r="J57" s="255"/>
      <c r="K57" s="262"/>
      <c r="L57" s="276"/>
    </row>
    <row r="58" ht="13.5" spans="1:12">
      <c r="A58" s="270" t="s">
        <v>68</v>
      </c>
      <c r="B58" s="256"/>
      <c r="C58" s="256"/>
      <c r="D58" s="256"/>
      <c r="E58" s="269"/>
      <c r="F58" s="256"/>
      <c r="G58" s="255"/>
      <c r="H58" s="269"/>
      <c r="I58" s="256"/>
      <c r="J58" s="255"/>
      <c r="K58" s="262"/>
      <c r="L58" s="276"/>
    </row>
    <row r="59" ht="13.5" spans="1:12">
      <c r="A59" s="270" t="s">
        <v>69</v>
      </c>
      <c r="B59" s="256">
        <v>48</v>
      </c>
      <c r="C59" s="256">
        <v>86</v>
      </c>
      <c r="D59" s="256">
        <v>86</v>
      </c>
      <c r="E59" s="269"/>
      <c r="F59" s="256"/>
      <c r="G59" s="255"/>
      <c r="H59" s="269"/>
      <c r="I59" s="256">
        <v>2</v>
      </c>
      <c r="J59" s="255"/>
      <c r="K59" s="262"/>
      <c r="L59" s="276"/>
    </row>
    <row r="60" ht="13.5" spans="1:12">
      <c r="A60" s="270" t="s">
        <v>70</v>
      </c>
      <c r="B60" s="256">
        <v>3746</v>
      </c>
      <c r="C60" s="256">
        <v>4386</v>
      </c>
      <c r="D60" s="256">
        <f>4349+46</f>
        <v>4395</v>
      </c>
      <c r="E60" s="269"/>
      <c r="F60" s="256"/>
      <c r="G60" s="255"/>
      <c r="H60" s="269"/>
      <c r="I60" s="256">
        <f>566+1000</f>
        <v>1566</v>
      </c>
      <c r="J60" s="255"/>
      <c r="K60" s="262"/>
      <c r="L60" s="276"/>
    </row>
    <row r="61" ht="13.5" spans="1:12">
      <c r="A61" s="270" t="s">
        <v>71</v>
      </c>
      <c r="B61" s="256"/>
      <c r="C61" s="256"/>
      <c r="D61" s="256"/>
      <c r="E61" s="269"/>
      <c r="F61" s="256"/>
      <c r="G61" s="255"/>
      <c r="H61" s="269"/>
      <c r="I61" s="256"/>
      <c r="J61" s="255"/>
      <c r="K61" s="262"/>
      <c r="L61" s="276"/>
    </row>
    <row r="62" ht="13.5" spans="1:12">
      <c r="A62" s="270" t="s">
        <v>72</v>
      </c>
      <c r="B62" s="256">
        <v>200</v>
      </c>
      <c r="C62" s="256">
        <v>236</v>
      </c>
      <c r="D62" s="256">
        <f>200+36</f>
        <v>236</v>
      </c>
      <c r="E62" s="269"/>
      <c r="F62" s="256"/>
      <c r="G62" s="255"/>
      <c r="H62" s="269"/>
      <c r="I62" s="256"/>
      <c r="J62" s="255"/>
      <c r="K62" s="262"/>
      <c r="L62" s="276"/>
    </row>
    <row r="63" ht="13.5" spans="1:12">
      <c r="A63" s="270" t="s">
        <v>73</v>
      </c>
      <c r="B63" s="256">
        <v>4110</v>
      </c>
      <c r="C63" s="256">
        <v>5376</v>
      </c>
      <c r="D63" s="256">
        <f>4964+490</f>
        <v>5454</v>
      </c>
      <c r="E63" s="269"/>
      <c r="F63" s="256"/>
      <c r="G63" s="255"/>
      <c r="H63" s="269"/>
      <c r="I63" s="256">
        <f>3614+145+444+66+57+500</f>
        <v>4826</v>
      </c>
      <c r="J63" s="255"/>
      <c r="K63" s="262"/>
      <c r="L63" s="276"/>
    </row>
    <row r="64" ht="13.5" spans="1:12">
      <c r="A64" s="270" t="s">
        <v>74</v>
      </c>
      <c r="B64" s="256">
        <v>1547</v>
      </c>
      <c r="C64" s="256">
        <v>1805</v>
      </c>
      <c r="D64" s="256">
        <f>1794+174</f>
        <v>1968</v>
      </c>
      <c r="E64" s="269"/>
      <c r="F64" s="256"/>
      <c r="G64" s="255"/>
      <c r="H64" s="269"/>
      <c r="I64" s="256">
        <f>410+54+15+1+905</f>
        <v>1385</v>
      </c>
      <c r="J64" s="255"/>
      <c r="K64" s="262"/>
      <c r="L64" s="276"/>
    </row>
    <row r="65" ht="13.5" spans="1:12">
      <c r="A65" s="270" t="s">
        <v>75</v>
      </c>
      <c r="B65" s="256">
        <v>13</v>
      </c>
      <c r="C65" s="256">
        <v>13</v>
      </c>
      <c r="D65" s="256">
        <v>238</v>
      </c>
      <c r="E65" s="269"/>
      <c r="F65" s="256"/>
      <c r="G65" s="255"/>
      <c r="H65" s="269"/>
      <c r="I65" s="256">
        <v>13</v>
      </c>
      <c r="J65" s="255"/>
      <c r="K65" s="262"/>
      <c r="L65" s="276"/>
    </row>
    <row r="66" ht="13.5" spans="1:12">
      <c r="A66" s="270" t="s">
        <v>76</v>
      </c>
      <c r="B66" s="256"/>
      <c r="C66" s="256"/>
      <c r="D66" s="256"/>
      <c r="E66" s="269"/>
      <c r="F66" s="256"/>
      <c r="G66" s="255"/>
      <c r="H66" s="269"/>
      <c r="I66" s="256"/>
      <c r="J66" s="255"/>
      <c r="K66" s="262"/>
      <c r="L66" s="276"/>
    </row>
    <row r="67" ht="13.5" spans="1:12">
      <c r="A67" s="270" t="s">
        <v>77</v>
      </c>
      <c r="B67" s="256">
        <v>1754</v>
      </c>
      <c r="C67" s="256">
        <v>2812</v>
      </c>
      <c r="D67" s="256">
        <v>2909</v>
      </c>
      <c r="E67" s="269"/>
      <c r="F67" s="256"/>
      <c r="G67" s="255"/>
      <c r="H67" s="269"/>
      <c r="I67" s="256">
        <f>379+149+32+555+380+380</f>
        <v>1875</v>
      </c>
      <c r="J67" s="255"/>
      <c r="K67" s="262"/>
      <c r="L67" s="276"/>
    </row>
    <row r="68" ht="13.5" spans="1:12">
      <c r="A68" s="270" t="s">
        <v>78</v>
      </c>
      <c r="B68" s="256">
        <v>116</v>
      </c>
      <c r="C68" s="256">
        <v>842</v>
      </c>
      <c r="D68" s="256">
        <f>216+626</f>
        <v>842</v>
      </c>
      <c r="E68" s="269"/>
      <c r="F68" s="256"/>
      <c r="G68" s="255"/>
      <c r="H68" s="269"/>
      <c r="I68" s="256">
        <f>342+194+93</f>
        <v>629</v>
      </c>
      <c r="J68" s="255"/>
      <c r="K68" s="262"/>
      <c r="L68" s="276"/>
    </row>
    <row r="69" ht="13.5" spans="1:12">
      <c r="A69" s="270" t="s">
        <v>79</v>
      </c>
      <c r="B69" s="256"/>
      <c r="C69" s="256"/>
      <c r="D69" s="256"/>
      <c r="E69" s="269"/>
      <c r="F69" s="256"/>
      <c r="G69" s="255"/>
      <c r="H69" s="269"/>
      <c r="I69" s="256"/>
      <c r="J69" s="255"/>
      <c r="K69" s="262"/>
      <c r="L69" s="276"/>
    </row>
    <row r="70" ht="13.5" spans="1:12">
      <c r="A70" s="270" t="s">
        <v>80</v>
      </c>
      <c r="B70" s="256"/>
      <c r="C70" s="256"/>
      <c r="D70" s="256"/>
      <c r="E70" s="269"/>
      <c r="F70" s="256"/>
      <c r="G70" s="255"/>
      <c r="H70" s="269"/>
      <c r="I70" s="256"/>
      <c r="J70" s="255"/>
      <c r="K70" s="262"/>
      <c r="L70" s="276"/>
    </row>
    <row r="71" ht="13.5" spans="1:12">
      <c r="A71" s="270" t="s">
        <v>81</v>
      </c>
      <c r="B71" s="256"/>
      <c r="C71" s="256"/>
      <c r="D71" s="256"/>
      <c r="E71" s="269"/>
      <c r="F71" s="256"/>
      <c r="G71" s="255"/>
      <c r="H71" s="269"/>
      <c r="I71" s="256"/>
      <c r="J71" s="255"/>
      <c r="K71" s="262"/>
      <c r="L71" s="276"/>
    </row>
    <row r="72" ht="13.5" spans="1:12">
      <c r="A72" s="270" t="s">
        <v>82</v>
      </c>
      <c r="B72" s="256"/>
      <c r="C72" s="256"/>
      <c r="D72" s="256"/>
      <c r="E72" s="269"/>
      <c r="F72" s="256"/>
      <c r="G72" s="255"/>
      <c r="H72" s="269"/>
      <c r="I72" s="256"/>
      <c r="J72" s="255"/>
      <c r="K72" s="262"/>
      <c r="L72" s="276"/>
    </row>
    <row r="73" ht="13.5" spans="1:12">
      <c r="A73" s="270" t="s">
        <v>83</v>
      </c>
      <c r="B73" s="256">
        <v>18</v>
      </c>
      <c r="C73" s="256">
        <v>28</v>
      </c>
      <c r="D73" s="256">
        <v>28</v>
      </c>
      <c r="E73" s="269"/>
      <c r="F73" s="256"/>
      <c r="G73" s="255"/>
      <c r="H73" s="269"/>
      <c r="I73" s="256">
        <v>32</v>
      </c>
      <c r="J73" s="255"/>
      <c r="K73" s="262"/>
      <c r="L73" s="276"/>
    </row>
    <row r="74" ht="13.5" spans="1:12">
      <c r="A74" s="270" t="s">
        <v>84</v>
      </c>
      <c r="B74" s="256"/>
      <c r="C74" s="256"/>
      <c r="D74" s="256"/>
      <c r="E74" s="269"/>
      <c r="F74" s="256"/>
      <c r="G74" s="255"/>
      <c r="H74" s="269"/>
      <c r="I74" s="256"/>
      <c r="J74" s="255"/>
      <c r="K74" s="262"/>
      <c r="L74" s="276"/>
    </row>
    <row r="75" ht="13.5" spans="1:12">
      <c r="A75" s="270" t="s">
        <v>85</v>
      </c>
      <c r="B75" s="256"/>
      <c r="C75" s="256">
        <v>331</v>
      </c>
      <c r="D75" s="256">
        <v>345</v>
      </c>
      <c r="E75" s="269"/>
      <c r="F75" s="256"/>
      <c r="G75" s="255"/>
      <c r="H75" s="269"/>
      <c r="I75" s="256"/>
      <c r="J75" s="255"/>
      <c r="K75" s="262"/>
      <c r="L75" s="276"/>
    </row>
    <row r="76" ht="13.5" spans="1:12">
      <c r="A76" s="270" t="s">
        <v>86</v>
      </c>
      <c r="B76" s="256"/>
      <c r="C76" s="256"/>
      <c r="D76" s="256"/>
      <c r="E76" s="269"/>
      <c r="F76" s="256"/>
      <c r="G76" s="255"/>
      <c r="H76" s="269"/>
      <c r="I76" s="256"/>
      <c r="J76" s="255"/>
      <c r="K76" s="262"/>
      <c r="L76" s="276"/>
    </row>
    <row r="77" ht="13.5" spans="1:12">
      <c r="A77" s="270" t="s">
        <v>87</v>
      </c>
      <c r="B77" s="256">
        <v>54</v>
      </c>
      <c r="C77" s="256">
        <v>136</v>
      </c>
      <c r="D77" s="256">
        <f>63+109</f>
        <v>172</v>
      </c>
      <c r="E77" s="269"/>
      <c r="F77" s="256"/>
      <c r="G77" s="255"/>
      <c r="H77" s="269"/>
      <c r="I77" s="256">
        <f>16+6+3</f>
        <v>25</v>
      </c>
      <c r="J77" s="255"/>
      <c r="K77" s="262"/>
      <c r="L77" s="276"/>
    </row>
    <row r="78" s="243" customFormat="1" spans="1:12">
      <c r="A78" s="267" t="s">
        <v>88</v>
      </c>
      <c r="B78" s="260">
        <f>SUM(B79:B99)</f>
        <v>1432</v>
      </c>
      <c r="C78" s="260">
        <f>SUM(C79:C99)</f>
        <v>5102</v>
      </c>
      <c r="D78" s="260">
        <f>SUM(D79:D99)</f>
        <v>9242</v>
      </c>
      <c r="E78" s="278"/>
      <c r="F78" s="260"/>
      <c r="G78" s="260"/>
      <c r="H78" s="278"/>
      <c r="I78" s="260">
        <f>SUM(I79:I99)</f>
        <v>0</v>
      </c>
      <c r="J78" s="260"/>
      <c r="K78" s="278"/>
      <c r="L78" s="275"/>
    </row>
    <row r="79" ht="13.5" spans="1:12">
      <c r="A79" s="270" t="s">
        <v>89</v>
      </c>
      <c r="B79" s="255">
        <v>33</v>
      </c>
      <c r="C79" s="255">
        <v>163</v>
      </c>
      <c r="D79" s="256">
        <v>3663</v>
      </c>
      <c r="E79" s="269"/>
      <c r="F79" s="256"/>
      <c r="G79" s="255"/>
      <c r="H79" s="269"/>
      <c r="I79" s="255"/>
      <c r="J79" s="255"/>
      <c r="K79" s="262"/>
      <c r="L79" s="276"/>
    </row>
    <row r="80" ht="13.5" spans="1:12">
      <c r="A80" s="270" t="s">
        <v>90</v>
      </c>
      <c r="B80" s="255"/>
      <c r="C80" s="255"/>
      <c r="D80" s="256"/>
      <c r="E80" s="269"/>
      <c r="F80" s="256"/>
      <c r="G80" s="255"/>
      <c r="H80" s="269"/>
      <c r="I80" s="255"/>
      <c r="J80" s="255"/>
      <c r="K80" s="262"/>
      <c r="L80" s="276"/>
    </row>
    <row r="81" ht="13.5" spans="1:12">
      <c r="A81" s="270" t="s">
        <v>91</v>
      </c>
      <c r="B81" s="255"/>
      <c r="C81" s="255"/>
      <c r="D81" s="256"/>
      <c r="E81" s="269"/>
      <c r="F81" s="256"/>
      <c r="G81" s="255"/>
      <c r="H81" s="269"/>
      <c r="I81" s="255"/>
      <c r="J81" s="255"/>
      <c r="K81" s="262"/>
      <c r="L81" s="276"/>
    </row>
    <row r="82" ht="13.5" spans="1:12">
      <c r="A82" s="270" t="s">
        <v>92</v>
      </c>
      <c r="B82" s="255"/>
      <c r="C82" s="255"/>
      <c r="D82" s="256"/>
      <c r="E82" s="269"/>
      <c r="F82" s="256"/>
      <c r="G82" s="255"/>
      <c r="H82" s="269"/>
      <c r="I82" s="255"/>
      <c r="J82" s="255"/>
      <c r="K82" s="262"/>
      <c r="L82" s="276"/>
    </row>
    <row r="83" ht="13.5" spans="1:12">
      <c r="A83" s="270" t="s">
        <v>93</v>
      </c>
      <c r="B83" s="255"/>
      <c r="C83" s="255"/>
      <c r="D83" s="256">
        <v>576</v>
      </c>
      <c r="E83" s="269"/>
      <c r="F83" s="256"/>
      <c r="G83" s="255"/>
      <c r="H83" s="269"/>
      <c r="I83" s="255"/>
      <c r="J83" s="255"/>
      <c r="K83" s="262"/>
      <c r="L83" s="276"/>
    </row>
    <row r="84" ht="13.5" spans="1:12">
      <c r="A84" s="270" t="s">
        <v>94</v>
      </c>
      <c r="B84" s="255"/>
      <c r="C84" s="255"/>
      <c r="D84" s="256"/>
      <c r="E84" s="269"/>
      <c r="F84" s="256"/>
      <c r="G84" s="255"/>
      <c r="H84" s="269"/>
      <c r="I84" s="255"/>
      <c r="J84" s="255"/>
      <c r="K84" s="262"/>
      <c r="L84" s="276"/>
    </row>
    <row r="85" ht="13.5" spans="1:12">
      <c r="A85" s="270" t="s">
        <v>95</v>
      </c>
      <c r="B85" s="255"/>
      <c r="C85" s="255"/>
      <c r="D85" s="256"/>
      <c r="E85" s="269"/>
      <c r="F85" s="256"/>
      <c r="G85" s="255"/>
      <c r="H85" s="269"/>
      <c r="I85" s="255"/>
      <c r="J85" s="255"/>
      <c r="K85" s="262"/>
      <c r="L85" s="276"/>
    </row>
    <row r="86" ht="13.5" spans="1:12">
      <c r="A86" s="270" t="s">
        <v>96</v>
      </c>
      <c r="B86" s="255">
        <v>32</v>
      </c>
      <c r="C86" s="255">
        <v>39</v>
      </c>
      <c r="D86" s="256">
        <f>32+7</f>
        <v>39</v>
      </c>
      <c r="E86" s="269"/>
      <c r="F86" s="256"/>
      <c r="G86" s="255"/>
      <c r="H86" s="269"/>
      <c r="I86" s="255"/>
      <c r="J86" s="255"/>
      <c r="K86" s="262"/>
      <c r="L86" s="276"/>
    </row>
    <row r="87" ht="13.5" spans="1:12">
      <c r="A87" s="270" t="s">
        <v>97</v>
      </c>
      <c r="B87" s="255">
        <v>43</v>
      </c>
      <c r="C87" s="255">
        <v>55</v>
      </c>
      <c r="D87" s="256">
        <v>55</v>
      </c>
      <c r="E87" s="269"/>
      <c r="F87" s="256"/>
      <c r="G87" s="255"/>
      <c r="H87" s="269"/>
      <c r="I87" s="255"/>
      <c r="J87" s="255"/>
      <c r="K87" s="262"/>
      <c r="L87" s="276"/>
    </row>
    <row r="88" ht="13.5" spans="1:12">
      <c r="A88" s="270" t="s">
        <v>98</v>
      </c>
      <c r="B88" s="255"/>
      <c r="C88" s="255">
        <v>6756</v>
      </c>
      <c r="D88" s="256">
        <f>4708+2060</f>
        <v>6768</v>
      </c>
      <c r="E88" s="269"/>
      <c r="F88" s="256"/>
      <c r="G88" s="255"/>
      <c r="H88" s="269"/>
      <c r="I88" s="255"/>
      <c r="J88" s="255"/>
      <c r="K88" s="262"/>
      <c r="L88" s="276"/>
    </row>
    <row r="89" ht="13.5" spans="1:12">
      <c r="A89" s="270" t="s">
        <v>99</v>
      </c>
      <c r="B89" s="255"/>
      <c r="C89" s="255">
        <v>-3379</v>
      </c>
      <c r="D89" s="256">
        <v>-3379</v>
      </c>
      <c r="E89" s="269"/>
      <c r="F89" s="256"/>
      <c r="G89" s="255"/>
      <c r="H89" s="269"/>
      <c r="I89" s="255"/>
      <c r="J89" s="255"/>
      <c r="K89" s="262"/>
      <c r="L89" s="276"/>
    </row>
    <row r="90" ht="13.5" spans="1:12">
      <c r="A90" s="270" t="s">
        <v>100</v>
      </c>
      <c r="B90" s="255">
        <v>1205</v>
      </c>
      <c r="C90" s="255">
        <v>1366</v>
      </c>
      <c r="D90" s="256">
        <f>1207+180</f>
        <v>1387</v>
      </c>
      <c r="E90" s="269"/>
      <c r="F90" s="256"/>
      <c r="G90" s="255"/>
      <c r="H90" s="269"/>
      <c r="I90" s="255"/>
      <c r="J90" s="255"/>
      <c r="K90" s="262"/>
      <c r="L90" s="276"/>
    </row>
    <row r="91" ht="13.5" spans="1:12">
      <c r="A91" s="270" t="s">
        <v>101</v>
      </c>
      <c r="B91" s="255">
        <v>24</v>
      </c>
      <c r="C91" s="255">
        <v>24</v>
      </c>
      <c r="D91" s="256">
        <v>24</v>
      </c>
      <c r="E91" s="269"/>
      <c r="F91" s="256"/>
      <c r="G91" s="255"/>
      <c r="H91" s="269"/>
      <c r="I91" s="255"/>
      <c r="J91" s="255"/>
      <c r="K91" s="262"/>
      <c r="L91" s="276"/>
    </row>
    <row r="92" ht="13.5" spans="1:12">
      <c r="A92" s="270" t="s">
        <v>102</v>
      </c>
      <c r="B92" s="255"/>
      <c r="C92" s="255">
        <v>123</v>
      </c>
      <c r="D92" s="256">
        <f>123+2</f>
        <v>125</v>
      </c>
      <c r="E92" s="269"/>
      <c r="F92" s="256"/>
      <c r="G92" s="255"/>
      <c r="H92" s="269"/>
      <c r="I92" s="255"/>
      <c r="J92" s="255"/>
      <c r="K92" s="262"/>
      <c r="L92" s="276"/>
    </row>
    <row r="93" ht="13.5" spans="1:12">
      <c r="A93" s="270" t="s">
        <v>103</v>
      </c>
      <c r="B93" s="255"/>
      <c r="C93" s="255"/>
      <c r="D93" s="256"/>
      <c r="E93" s="269"/>
      <c r="F93" s="256"/>
      <c r="G93" s="255"/>
      <c r="H93" s="269"/>
      <c r="I93" s="255"/>
      <c r="J93" s="255"/>
      <c r="K93" s="262"/>
      <c r="L93" s="276"/>
    </row>
    <row r="94" ht="13.5" spans="1:12">
      <c r="A94" s="270" t="s">
        <v>104</v>
      </c>
      <c r="B94" s="255"/>
      <c r="C94" s="255">
        <v>-140</v>
      </c>
      <c r="D94" s="256">
        <f>-7-104</f>
        <v>-111</v>
      </c>
      <c r="E94" s="269"/>
      <c r="F94" s="256"/>
      <c r="G94" s="255"/>
      <c r="H94" s="269"/>
      <c r="I94" s="255"/>
      <c r="J94" s="255"/>
      <c r="K94" s="262"/>
      <c r="L94" s="276"/>
    </row>
    <row r="95" ht="13.5" spans="1:12">
      <c r="A95" s="270" t="s">
        <v>105</v>
      </c>
      <c r="B95" s="255">
        <v>2</v>
      </c>
      <c r="C95" s="255">
        <v>2</v>
      </c>
      <c r="D95" s="256">
        <v>2</v>
      </c>
      <c r="E95" s="269"/>
      <c r="F95" s="256"/>
      <c r="G95" s="255"/>
      <c r="H95" s="269"/>
      <c r="I95" s="255"/>
      <c r="J95" s="255"/>
      <c r="K95" s="262"/>
      <c r="L95" s="276"/>
    </row>
    <row r="96" ht="13.5" spans="1:12">
      <c r="A96" s="270" t="s">
        <v>106</v>
      </c>
      <c r="B96" s="255"/>
      <c r="C96" s="255"/>
      <c r="D96" s="256"/>
      <c r="E96" s="269"/>
      <c r="F96" s="256"/>
      <c r="G96" s="255"/>
      <c r="H96" s="269"/>
      <c r="I96" s="255"/>
      <c r="J96" s="255"/>
      <c r="K96" s="262"/>
      <c r="L96" s="276"/>
    </row>
    <row r="97" ht="13.5" spans="1:12">
      <c r="A97" s="270" t="s">
        <v>107</v>
      </c>
      <c r="B97" s="255"/>
      <c r="C97" s="255"/>
      <c r="D97" s="256"/>
      <c r="E97" s="269"/>
      <c r="F97" s="256"/>
      <c r="G97" s="255"/>
      <c r="H97" s="269"/>
      <c r="I97" s="255"/>
      <c r="J97" s="255"/>
      <c r="K97" s="262"/>
      <c r="L97" s="276"/>
    </row>
    <row r="98" ht="13.5" spans="1:12">
      <c r="A98" s="270" t="s">
        <v>108</v>
      </c>
      <c r="B98" s="255">
        <v>93</v>
      </c>
      <c r="C98" s="255">
        <v>93</v>
      </c>
      <c r="D98" s="256">
        <v>93</v>
      </c>
      <c r="E98" s="269"/>
      <c r="F98" s="256"/>
      <c r="G98" s="255"/>
      <c r="H98" s="269"/>
      <c r="I98" s="255"/>
      <c r="J98" s="255"/>
      <c r="K98" s="262"/>
      <c r="L98" s="276"/>
    </row>
    <row r="99" ht="13.5" spans="1:12">
      <c r="A99" s="270" t="s">
        <v>41</v>
      </c>
      <c r="B99" s="255"/>
      <c r="C99" s="255"/>
      <c r="D99" s="256"/>
      <c r="E99" s="269"/>
      <c r="F99" s="256"/>
      <c r="G99" s="255"/>
      <c r="H99" s="269"/>
      <c r="I99" s="255"/>
      <c r="J99" s="255"/>
      <c r="K99" s="262"/>
      <c r="L99" s="276"/>
    </row>
    <row r="100" s="243" customFormat="1" spans="1:12">
      <c r="A100" s="267" t="s">
        <v>109</v>
      </c>
      <c r="B100" s="260">
        <f>SUM(B101:B102)</f>
        <v>0</v>
      </c>
      <c r="C100" s="260">
        <f>SUM(C101:C102)</f>
        <v>0</v>
      </c>
      <c r="D100" s="279">
        <f>SUM(D101:D102)</f>
        <v>0</v>
      </c>
      <c r="E100" s="268"/>
      <c r="F100" s="279"/>
      <c r="G100" s="260"/>
      <c r="H100" s="268"/>
      <c r="I100" s="260">
        <f>SUM(I101:I102)</f>
        <v>0</v>
      </c>
      <c r="J100" s="260"/>
      <c r="K100" s="278"/>
      <c r="L100" s="285"/>
    </row>
    <row r="101" spans="1:12">
      <c r="A101" s="261" t="s">
        <v>110</v>
      </c>
      <c r="B101" s="255"/>
      <c r="C101" s="255"/>
      <c r="D101" s="256"/>
      <c r="E101" s="269"/>
      <c r="F101" s="256"/>
      <c r="G101" s="255"/>
      <c r="H101" s="269"/>
      <c r="I101" s="255"/>
      <c r="J101" s="255"/>
      <c r="K101" s="262"/>
      <c r="L101" s="286"/>
    </row>
    <row r="102" spans="1:12">
      <c r="A102" s="261" t="s">
        <v>111</v>
      </c>
      <c r="B102" s="255"/>
      <c r="C102" s="255"/>
      <c r="D102" s="256"/>
      <c r="E102" s="269"/>
      <c r="F102" s="256"/>
      <c r="G102" s="255"/>
      <c r="H102" s="269"/>
      <c r="I102" s="255"/>
      <c r="J102" s="255"/>
      <c r="K102" s="262"/>
      <c r="L102" s="286"/>
    </row>
    <row r="103" s="243" customFormat="1" spans="1:12">
      <c r="A103" s="267" t="s">
        <v>112</v>
      </c>
      <c r="B103" s="260">
        <f>SUM(B104:B105)</f>
        <v>16864</v>
      </c>
      <c r="C103" s="260">
        <f>SUM(C104:C105)</f>
        <v>18858</v>
      </c>
      <c r="D103" s="279">
        <f>SUM(D104:D105)</f>
        <v>20641</v>
      </c>
      <c r="E103" s="268"/>
      <c r="F103" s="279"/>
      <c r="G103" s="260"/>
      <c r="H103" s="268"/>
      <c r="I103" s="260">
        <f>SUM(I104:I105)</f>
        <v>18864</v>
      </c>
      <c r="J103" s="260"/>
      <c r="K103" s="278"/>
      <c r="L103" s="285"/>
    </row>
    <row r="104" spans="1:12">
      <c r="A104" s="261" t="s">
        <v>113</v>
      </c>
      <c r="B104" s="255">
        <v>16864</v>
      </c>
      <c r="C104" s="255">
        <v>18858</v>
      </c>
      <c r="D104" s="256">
        <v>20641</v>
      </c>
      <c r="E104" s="269"/>
      <c r="F104" s="256"/>
      <c r="G104" s="255"/>
      <c r="H104" s="269"/>
      <c r="I104" s="255">
        <v>18864</v>
      </c>
      <c r="J104" s="255"/>
      <c r="K104" s="262"/>
      <c r="L104" s="286"/>
    </row>
    <row r="105" spans="1:12">
      <c r="A105" s="261" t="s">
        <v>114</v>
      </c>
      <c r="B105" s="255"/>
      <c r="C105" s="255"/>
      <c r="D105" s="256"/>
      <c r="E105" s="269"/>
      <c r="F105" s="256"/>
      <c r="G105" s="255"/>
      <c r="H105" s="269"/>
      <c r="I105" s="255"/>
      <c r="J105" s="255"/>
      <c r="K105" s="262"/>
      <c r="L105" s="286"/>
    </row>
    <row r="106" s="243" customFormat="1" spans="1:12">
      <c r="A106" s="267" t="s">
        <v>115</v>
      </c>
      <c r="B106" s="260"/>
      <c r="C106" s="260"/>
      <c r="D106" s="279"/>
      <c r="E106" s="268"/>
      <c r="F106" s="279"/>
      <c r="G106" s="260"/>
      <c r="H106" s="268"/>
      <c r="I106" s="260"/>
      <c r="J106" s="260"/>
      <c r="K106" s="278"/>
      <c r="L106" s="275"/>
    </row>
    <row r="107" s="243" customFormat="1" spans="1:12">
      <c r="A107" s="267" t="s">
        <v>116</v>
      </c>
      <c r="B107" s="260">
        <v>9400</v>
      </c>
      <c r="C107" s="260">
        <v>10553</v>
      </c>
      <c r="D107" s="279">
        <v>11080</v>
      </c>
      <c r="E107" s="268"/>
      <c r="F107" s="279"/>
      <c r="G107" s="260"/>
      <c r="H107" s="268"/>
      <c r="I107" s="260"/>
      <c r="J107" s="260"/>
      <c r="K107" s="278"/>
      <c r="L107" s="285"/>
    </row>
    <row r="108" s="243" customFormat="1" spans="1:12">
      <c r="A108" s="267" t="s">
        <v>117</v>
      </c>
      <c r="B108" s="260"/>
      <c r="C108" s="260"/>
      <c r="D108" s="279"/>
      <c r="E108" s="268"/>
      <c r="F108" s="279"/>
      <c r="G108" s="260"/>
      <c r="H108" s="268"/>
      <c r="I108" s="260"/>
      <c r="J108" s="260"/>
      <c r="K108" s="278"/>
      <c r="L108" s="285"/>
    </row>
    <row r="109" s="243" customFormat="1" spans="1:12">
      <c r="A109" s="280" t="s">
        <v>118</v>
      </c>
      <c r="B109" s="260">
        <v>814</v>
      </c>
      <c r="C109" s="260">
        <v>814</v>
      </c>
      <c r="D109" s="260">
        <v>814</v>
      </c>
      <c r="E109" s="268"/>
      <c r="F109" s="260"/>
      <c r="G109" s="260"/>
      <c r="H109" s="268"/>
      <c r="I109" s="260"/>
      <c r="J109" s="260"/>
      <c r="K109" s="278"/>
      <c r="L109" s="275"/>
    </row>
    <row r="110" s="243" customFormat="1" spans="1:12">
      <c r="A110" s="281" t="s">
        <v>119</v>
      </c>
      <c r="B110" s="282">
        <f>B32+B33</f>
        <v>62420</v>
      </c>
      <c r="C110" s="282">
        <f>C32+C33</f>
        <v>77680</v>
      </c>
      <c r="D110" s="282">
        <f>D32+D33</f>
        <v>97658</v>
      </c>
      <c r="E110" s="283"/>
      <c r="F110" s="282"/>
      <c r="G110" s="282"/>
      <c r="H110" s="284"/>
      <c r="I110" s="282">
        <f>I32+I33</f>
        <v>54270</v>
      </c>
      <c r="J110" s="282"/>
      <c r="K110" s="283"/>
      <c r="L110" s="287"/>
    </row>
    <row r="111" hidden="1" spans="2:4">
      <c r="B111" s="173" t="s">
        <v>120</v>
      </c>
      <c r="D111" s="173">
        <v>63579</v>
      </c>
    </row>
    <row r="112" hidden="1" spans="2:4">
      <c r="B112" s="173" t="s">
        <v>121</v>
      </c>
      <c r="D112" s="173">
        <v>4161</v>
      </c>
    </row>
    <row r="113" hidden="1" spans="2:4">
      <c r="B113" s="173" t="s">
        <v>122</v>
      </c>
      <c r="D113" s="173">
        <v>11054</v>
      </c>
    </row>
    <row r="114" hidden="1" spans="2:4">
      <c r="B114" s="173" t="s">
        <v>123</v>
      </c>
      <c r="D114" s="173">
        <f>SUM(D111:D113)</f>
        <v>78794</v>
      </c>
    </row>
    <row r="115" hidden="1" spans="2:4">
      <c r="B115" s="173" t="s">
        <v>124</v>
      </c>
      <c r="D115" s="173">
        <f>D110-D114</f>
        <v>18864</v>
      </c>
    </row>
    <row r="116" hidden="1"/>
  </sheetData>
  <autoFilter ref="A6:L115">
    <extLst/>
  </autoFilter>
  <mergeCells count="13">
    <mergeCell ref="A2:L2"/>
    <mergeCell ref="B4:H4"/>
    <mergeCell ref="I4:K4"/>
    <mergeCell ref="G5:H5"/>
    <mergeCell ref="J5:K5"/>
    <mergeCell ref="A4:A6"/>
    <mergeCell ref="B5:B6"/>
    <mergeCell ref="C5:C6"/>
    <mergeCell ref="D5:D6"/>
    <mergeCell ref="E5:E6"/>
    <mergeCell ref="F5:F6"/>
    <mergeCell ref="I5:I6"/>
    <mergeCell ref="L4:L6"/>
  </mergeCells>
  <pageMargins left="0.629861111111111" right="0.629861111111111" top="0.550694444444444" bottom="0.786805555555556" header="0.156944444444444" footer="0.196527777777778"/>
  <pageSetup paperSize="9" scale="92" fitToHeight="0" orientation="landscape" blackAndWhite="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758"/>
  <sheetViews>
    <sheetView workbookViewId="0">
      <pane xSplit="3" ySplit="6" topLeftCell="D729" activePane="bottomRight" state="frozen"/>
      <selection/>
      <selection pane="topRight"/>
      <selection pane="bottomLeft"/>
      <selection pane="bottomRight" activeCell="V738" sqref="V738"/>
    </sheetView>
  </sheetViews>
  <sheetFormatPr defaultColWidth="9" defaultRowHeight="13.5"/>
  <cols>
    <col min="1" max="1" width="7" style="5" customWidth="1"/>
    <col min="2" max="2" width="9.10833333333333" style="169" customWidth="1"/>
    <col min="3" max="3" width="32.2166666666667" style="169" customWidth="1"/>
    <col min="4" max="4" width="9.55833333333333" style="169" customWidth="1"/>
    <col min="5" max="5" width="8.66666666666667" hidden="1" customWidth="1"/>
    <col min="6" max="6" width="8.66666666666667"/>
    <col min="7" max="7" width="11.6666666666667" style="170" customWidth="1"/>
    <col min="8" max="9" width="8.66666666666667" customWidth="1"/>
    <col min="10" max="10" width="11.2166666666667" style="2" customWidth="1"/>
    <col min="11" max="11" width="10.5583333333333"/>
    <col min="12" max="12" width="8.66666666666667"/>
    <col min="13" max="13" width="11.8833333333333" style="170" customWidth="1"/>
    <col min="14" max="14" width="5.33333333333333" customWidth="1"/>
    <col min="15" max="16382" width="8.66666666666667"/>
  </cols>
  <sheetData>
    <row r="1" s="24" customFormat="1" ht="14.25" spans="1:13">
      <c r="A1" s="171" t="s">
        <v>125</v>
      </c>
      <c r="D1" s="172"/>
      <c r="E1" s="173"/>
      <c r="F1" s="172"/>
      <c r="G1" s="174"/>
      <c r="H1" s="173"/>
      <c r="I1" s="172"/>
      <c r="J1" s="203"/>
      <c r="K1" s="173"/>
      <c r="L1" s="173"/>
      <c r="M1" s="174"/>
    </row>
    <row r="2" s="24" customFormat="1" ht="28.95" customHeight="1" spans="1:14">
      <c r="A2" s="175" t="s">
        <v>126</v>
      </c>
      <c r="B2" s="175"/>
      <c r="C2" s="175"/>
      <c r="D2" s="175"/>
      <c r="E2" s="175"/>
      <c r="F2" s="175"/>
      <c r="G2" s="176"/>
      <c r="H2" s="175"/>
      <c r="I2" s="175"/>
      <c r="J2" s="204"/>
      <c r="K2" s="175"/>
      <c r="L2" s="175"/>
      <c r="M2" s="176"/>
      <c r="N2" s="175"/>
    </row>
    <row r="3" s="24" customFormat="1" ht="14.25" spans="1:14">
      <c r="A3" s="177" t="s">
        <v>2</v>
      </c>
      <c r="B3" s="177"/>
      <c r="C3" s="177"/>
      <c r="D3" s="177"/>
      <c r="E3" s="177"/>
      <c r="F3" s="177"/>
      <c r="G3" s="178"/>
      <c r="H3" s="177"/>
      <c r="I3" s="177"/>
      <c r="J3" s="205"/>
      <c r="K3" s="177"/>
      <c r="L3" s="177"/>
      <c r="M3" s="178"/>
      <c r="N3" s="177"/>
    </row>
    <row r="4" s="24" customFormat="1" ht="14.25" spans="1:14">
      <c r="A4" s="33" t="s">
        <v>127</v>
      </c>
      <c r="B4" s="33" t="s">
        <v>128</v>
      </c>
      <c r="C4" s="33" t="s">
        <v>129</v>
      </c>
      <c r="D4" s="30" t="s">
        <v>130</v>
      </c>
      <c r="E4" s="30"/>
      <c r="F4" s="30"/>
      <c r="G4" s="179"/>
      <c r="H4" s="30"/>
      <c r="I4" s="30"/>
      <c r="J4" s="206"/>
      <c r="K4" s="207" t="s">
        <v>5</v>
      </c>
      <c r="L4" s="208"/>
      <c r="M4" s="209"/>
      <c r="N4" s="210" t="s">
        <v>6</v>
      </c>
    </row>
    <row r="5" s="24" customFormat="1" ht="27" customHeight="1" spans="1:14">
      <c r="A5" s="33"/>
      <c r="B5" s="33"/>
      <c r="C5" s="33"/>
      <c r="D5" s="30" t="s">
        <v>7</v>
      </c>
      <c r="E5" s="30" t="s">
        <v>8</v>
      </c>
      <c r="F5" s="30" t="s">
        <v>9</v>
      </c>
      <c r="G5" s="32" t="s">
        <v>10</v>
      </c>
      <c r="H5" s="30" t="s">
        <v>11</v>
      </c>
      <c r="I5" s="207" t="s">
        <v>131</v>
      </c>
      <c r="J5" s="211"/>
      <c r="K5" s="35" t="s">
        <v>132</v>
      </c>
      <c r="L5" s="30" t="s">
        <v>133</v>
      </c>
      <c r="M5" s="179"/>
      <c r="N5" s="210"/>
    </row>
    <row r="6" s="24" customFormat="1" ht="22.05" customHeight="1" spans="1:14">
      <c r="A6" s="180"/>
      <c r="B6" s="180"/>
      <c r="C6" s="180"/>
      <c r="D6" s="35"/>
      <c r="E6" s="35"/>
      <c r="F6" s="35"/>
      <c r="G6" s="36"/>
      <c r="H6" s="35"/>
      <c r="I6" s="35" t="s">
        <v>15</v>
      </c>
      <c r="J6" s="212" t="s">
        <v>16</v>
      </c>
      <c r="K6" s="213"/>
      <c r="L6" s="35" t="s">
        <v>15</v>
      </c>
      <c r="M6" s="36" t="s">
        <v>16</v>
      </c>
      <c r="N6" s="214"/>
    </row>
    <row r="7" s="161" customFormat="1" spans="1:14">
      <c r="A7" s="181" t="s">
        <v>134</v>
      </c>
      <c r="B7" s="182">
        <v>201</v>
      </c>
      <c r="C7" s="182" t="s">
        <v>135</v>
      </c>
      <c r="D7" s="183">
        <f>D8+D14+D23+D29+D34+D42+D49+D53+D57+D59+D63+D68+D70+D77+D79+D85+D87+D94+D101+D108+D115+D118+D124+D130+D132+D148+D139+D142</f>
        <v>5891</v>
      </c>
      <c r="E7" s="184">
        <f t="shared" ref="E7:H7" si="0">E8+E14+E23+E29+E34+E42+E49+E53+E57+E59+E63+E68+E70+E77+E79+E85+E87+E94+E101+E108+E115+E118+E124+E130+E132+E148+E139+E142</f>
        <v>9070</v>
      </c>
      <c r="F7" s="183">
        <f t="shared" si="0"/>
        <v>10401</v>
      </c>
      <c r="G7" s="185">
        <f>F7/D7*100</f>
        <v>176.557460533016</v>
      </c>
      <c r="H7" s="183">
        <f t="shared" si="0"/>
        <v>9512</v>
      </c>
      <c r="I7" s="183">
        <f t="shared" ref="I7:I12" si="1">F7-H7</f>
        <v>889</v>
      </c>
      <c r="J7" s="215">
        <f t="shared" ref="J7:J12" si="2">I7/H7*100</f>
        <v>9.34608915054668</v>
      </c>
      <c r="K7" s="183">
        <f>K8+K14+K23+K29+K34+K42+K49+K53+K57+K59+K63+K68+K70+K77+K79+K85+K87+K94+K101+K108+K115+K118+K124+K130+K132+K148+K139+K142</f>
        <v>7679</v>
      </c>
      <c r="L7" s="216">
        <f t="shared" ref="L7:L9" si="3">K7-D7</f>
        <v>1788</v>
      </c>
      <c r="M7" s="217">
        <f t="shared" ref="M7:M9" si="4">L7/D7*100</f>
        <v>30.3513834663045</v>
      </c>
      <c r="N7" s="216"/>
    </row>
    <row r="8" s="162" customFormat="1" spans="1:14">
      <c r="A8" s="186" t="s">
        <v>136</v>
      </c>
      <c r="B8" s="187">
        <v>20101</v>
      </c>
      <c r="C8" s="188" t="s">
        <v>137</v>
      </c>
      <c r="D8" s="189">
        <f>SUM(D9:D13)</f>
        <v>264</v>
      </c>
      <c r="E8" s="190">
        <f>SUM(E9:E13)</f>
        <v>352</v>
      </c>
      <c r="F8" s="189">
        <f>SUM(F9:F13)</f>
        <v>279</v>
      </c>
      <c r="G8" s="191">
        <f t="shared" ref="G8:G71" si="5">F8/D8*100</f>
        <v>105.681818181818</v>
      </c>
      <c r="H8" s="189">
        <f>SUM(H9:H13)</f>
        <v>269</v>
      </c>
      <c r="I8" s="189">
        <f t="shared" si="1"/>
        <v>10</v>
      </c>
      <c r="J8" s="218">
        <f t="shared" si="2"/>
        <v>3.71747211895911</v>
      </c>
      <c r="K8" s="189">
        <f>SUM(K9:K13)</f>
        <v>330</v>
      </c>
      <c r="L8" s="189">
        <f t="shared" si="3"/>
        <v>66</v>
      </c>
      <c r="M8" s="191">
        <f t="shared" si="4"/>
        <v>25</v>
      </c>
      <c r="N8" s="219"/>
    </row>
    <row r="9" s="163" customFormat="1" spans="1:14">
      <c r="A9" s="192" t="s">
        <v>138</v>
      </c>
      <c r="B9" s="193">
        <v>2010101</v>
      </c>
      <c r="C9" s="193" t="s">
        <v>139</v>
      </c>
      <c r="D9" s="194">
        <v>225</v>
      </c>
      <c r="E9" s="195">
        <v>309</v>
      </c>
      <c r="F9" s="196">
        <v>223</v>
      </c>
      <c r="G9" s="197">
        <f t="shared" si="5"/>
        <v>99.1111111111111</v>
      </c>
      <c r="H9" s="196">
        <v>223</v>
      </c>
      <c r="I9" s="202"/>
      <c r="J9" s="220"/>
      <c r="K9" s="194">
        <v>263</v>
      </c>
      <c r="L9" s="202">
        <f t="shared" si="3"/>
        <v>38</v>
      </c>
      <c r="M9" s="221">
        <f t="shared" si="4"/>
        <v>16.8888888888889</v>
      </c>
      <c r="N9" s="202"/>
    </row>
    <row r="10" spans="1:14">
      <c r="A10" s="198" t="s">
        <v>138</v>
      </c>
      <c r="B10" s="199">
        <v>2010102</v>
      </c>
      <c r="C10" s="199" t="s">
        <v>140</v>
      </c>
      <c r="D10" s="200"/>
      <c r="E10" s="195"/>
      <c r="F10" s="201"/>
      <c r="G10" s="197"/>
      <c r="H10" s="201"/>
      <c r="I10" s="200"/>
      <c r="J10" s="222"/>
      <c r="K10" s="200"/>
      <c r="L10" s="200"/>
      <c r="M10" s="221"/>
      <c r="N10" s="200"/>
    </row>
    <row r="11" spans="1:14">
      <c r="A11" s="198" t="s">
        <v>138</v>
      </c>
      <c r="B11" s="199">
        <v>2010103</v>
      </c>
      <c r="C11" s="199" t="s">
        <v>141</v>
      </c>
      <c r="D11" s="200"/>
      <c r="E11" s="195"/>
      <c r="F11" s="201"/>
      <c r="G11" s="197"/>
      <c r="H11" s="201"/>
      <c r="I11" s="200"/>
      <c r="J11" s="222"/>
      <c r="K11" s="200"/>
      <c r="L11" s="200"/>
      <c r="M11" s="221"/>
      <c r="N11" s="200"/>
    </row>
    <row r="12" s="163" customFormat="1" spans="1:14">
      <c r="A12" s="192" t="s">
        <v>138</v>
      </c>
      <c r="B12" s="193">
        <v>2010104</v>
      </c>
      <c r="C12" s="193" t="s">
        <v>142</v>
      </c>
      <c r="D12" s="202">
        <v>39</v>
      </c>
      <c r="E12" s="195">
        <v>43</v>
      </c>
      <c r="F12" s="196">
        <v>29</v>
      </c>
      <c r="G12" s="197">
        <f t="shared" si="5"/>
        <v>74.3589743589744</v>
      </c>
      <c r="H12" s="196">
        <v>32</v>
      </c>
      <c r="I12" s="202">
        <f t="shared" si="1"/>
        <v>-3</v>
      </c>
      <c r="J12" s="220">
        <f t="shared" si="2"/>
        <v>-9.375</v>
      </c>
      <c r="K12" s="202">
        <v>39</v>
      </c>
      <c r="L12" s="202"/>
      <c r="M12" s="221"/>
      <c r="N12" s="202"/>
    </row>
    <row r="13" spans="1:14">
      <c r="A13" s="198" t="s">
        <v>138</v>
      </c>
      <c r="B13" s="199">
        <v>2010199</v>
      </c>
      <c r="C13" s="199" t="s">
        <v>143</v>
      </c>
      <c r="D13" s="200"/>
      <c r="E13" s="195"/>
      <c r="F13" s="201">
        <v>27</v>
      </c>
      <c r="G13" s="197"/>
      <c r="H13" s="201">
        <v>14</v>
      </c>
      <c r="I13" s="200">
        <f t="shared" ref="I13:I35" si="6">F13-H13</f>
        <v>13</v>
      </c>
      <c r="J13" s="222">
        <f t="shared" ref="J13:J35" si="7">I13/H13*100</f>
        <v>92.8571428571429</v>
      </c>
      <c r="K13" s="200">
        <v>28</v>
      </c>
      <c r="L13" s="200">
        <f t="shared" ref="L13:L35" si="8">K13-D13</f>
        <v>28</v>
      </c>
      <c r="M13" s="221"/>
      <c r="N13" s="200"/>
    </row>
    <row r="14" s="162" customFormat="1" spans="1:14">
      <c r="A14" s="186" t="s">
        <v>136</v>
      </c>
      <c r="B14" s="187">
        <v>20102</v>
      </c>
      <c r="C14" s="188" t="s">
        <v>144</v>
      </c>
      <c r="D14" s="189">
        <f>SUM(D15:D22)</f>
        <v>217</v>
      </c>
      <c r="E14" s="190">
        <f t="shared" ref="E14:H14" si="9">SUM(E15:E22)</f>
        <v>277</v>
      </c>
      <c r="F14" s="189">
        <f t="shared" si="9"/>
        <v>258</v>
      </c>
      <c r="G14" s="191">
        <f t="shared" si="5"/>
        <v>118.89400921659</v>
      </c>
      <c r="H14" s="189">
        <f t="shared" si="9"/>
        <v>252</v>
      </c>
      <c r="I14" s="189">
        <f t="shared" si="6"/>
        <v>6</v>
      </c>
      <c r="J14" s="218">
        <f t="shared" si="7"/>
        <v>2.38095238095238</v>
      </c>
      <c r="K14" s="189">
        <f>SUM(K15:K22)</f>
        <v>286</v>
      </c>
      <c r="L14" s="189">
        <f t="shared" si="8"/>
        <v>69</v>
      </c>
      <c r="M14" s="191">
        <f t="shared" ref="M14:M35" si="10">L14/D14*100</f>
        <v>31.7972350230415</v>
      </c>
      <c r="N14" s="219"/>
    </row>
    <row r="15" s="163" customFormat="1" spans="1:14">
      <c r="A15" s="192" t="s">
        <v>138</v>
      </c>
      <c r="B15" s="193">
        <v>2010201</v>
      </c>
      <c r="C15" s="193" t="s">
        <v>139</v>
      </c>
      <c r="D15" s="202">
        <v>187</v>
      </c>
      <c r="E15" s="195">
        <v>244</v>
      </c>
      <c r="F15" s="196">
        <v>189</v>
      </c>
      <c r="G15" s="197">
        <f t="shared" si="5"/>
        <v>101.069518716578</v>
      </c>
      <c r="H15" s="196">
        <v>192</v>
      </c>
      <c r="I15" s="202">
        <f t="shared" si="6"/>
        <v>-3</v>
      </c>
      <c r="J15" s="220">
        <f t="shared" si="7"/>
        <v>-1.5625</v>
      </c>
      <c r="K15" s="202">
        <v>222</v>
      </c>
      <c r="L15" s="202">
        <f t="shared" si="8"/>
        <v>35</v>
      </c>
      <c r="M15" s="221">
        <f t="shared" si="10"/>
        <v>18.716577540107</v>
      </c>
      <c r="N15" s="202"/>
    </row>
    <row r="16" spans="1:14">
      <c r="A16" s="198" t="s">
        <v>138</v>
      </c>
      <c r="B16" s="199">
        <v>2010202</v>
      </c>
      <c r="C16" s="199" t="s">
        <v>140</v>
      </c>
      <c r="D16" s="200"/>
      <c r="E16" s="195"/>
      <c r="F16" s="201"/>
      <c r="G16" s="197"/>
      <c r="H16" s="201"/>
      <c r="I16" s="200"/>
      <c r="J16" s="222"/>
      <c r="K16" s="200"/>
      <c r="L16" s="200"/>
      <c r="M16" s="221"/>
      <c r="N16" s="200"/>
    </row>
    <row r="17" spans="1:14">
      <c r="A17" s="198" t="s">
        <v>138</v>
      </c>
      <c r="B17" s="199">
        <v>2010203</v>
      </c>
      <c r="C17" s="199" t="s">
        <v>141</v>
      </c>
      <c r="D17" s="200"/>
      <c r="E17" s="195"/>
      <c r="F17" s="201"/>
      <c r="G17" s="197"/>
      <c r="H17" s="201"/>
      <c r="I17" s="200"/>
      <c r="J17" s="222"/>
      <c r="K17" s="200"/>
      <c r="L17" s="200"/>
      <c r="M17" s="221"/>
      <c r="N17" s="200"/>
    </row>
    <row r="18" s="163" customFormat="1" spans="1:14">
      <c r="A18" s="192" t="s">
        <v>138</v>
      </c>
      <c r="B18" s="193">
        <v>2010204</v>
      </c>
      <c r="C18" s="193" t="s">
        <v>145</v>
      </c>
      <c r="D18" s="202">
        <v>30</v>
      </c>
      <c r="E18" s="195">
        <v>33</v>
      </c>
      <c r="F18" s="196">
        <v>19</v>
      </c>
      <c r="G18" s="197">
        <f t="shared" si="5"/>
        <v>63.3333333333333</v>
      </c>
      <c r="H18" s="196">
        <v>31</v>
      </c>
      <c r="I18" s="202">
        <f t="shared" si="6"/>
        <v>-12</v>
      </c>
      <c r="J18" s="220">
        <f t="shared" si="7"/>
        <v>-38.7096774193548</v>
      </c>
      <c r="K18" s="202">
        <v>30</v>
      </c>
      <c r="L18" s="202"/>
      <c r="M18" s="221"/>
      <c r="N18" s="202"/>
    </row>
    <row r="19" spans="1:14">
      <c r="A19" s="198" t="s">
        <v>138</v>
      </c>
      <c r="B19" s="199">
        <v>2010205</v>
      </c>
      <c r="C19" s="199" t="s">
        <v>146</v>
      </c>
      <c r="D19" s="200"/>
      <c r="E19" s="195"/>
      <c r="F19" s="201"/>
      <c r="G19" s="197"/>
      <c r="H19" s="201"/>
      <c r="I19" s="200"/>
      <c r="J19" s="222"/>
      <c r="K19" s="200"/>
      <c r="L19" s="200"/>
      <c r="M19" s="221"/>
      <c r="N19" s="200"/>
    </row>
    <row r="20" spans="1:14">
      <c r="A20" s="198" t="s">
        <v>138</v>
      </c>
      <c r="B20" s="199">
        <v>2010206</v>
      </c>
      <c r="C20" s="199" t="s">
        <v>147</v>
      </c>
      <c r="D20" s="200"/>
      <c r="E20" s="195"/>
      <c r="F20" s="201"/>
      <c r="G20" s="197"/>
      <c r="H20" s="201">
        <v>9</v>
      </c>
      <c r="I20" s="200">
        <f t="shared" si="6"/>
        <v>-9</v>
      </c>
      <c r="J20" s="222">
        <f t="shared" si="7"/>
        <v>-100</v>
      </c>
      <c r="K20" s="200"/>
      <c r="L20" s="200"/>
      <c r="M20" s="221"/>
      <c r="N20" s="200"/>
    </row>
    <row r="21" spans="1:14">
      <c r="A21" s="198" t="s">
        <v>138</v>
      </c>
      <c r="B21" s="199">
        <v>2010250</v>
      </c>
      <c r="C21" s="199" t="s">
        <v>148</v>
      </c>
      <c r="D21" s="200"/>
      <c r="E21" s="195"/>
      <c r="F21" s="201">
        <v>1</v>
      </c>
      <c r="G21" s="197"/>
      <c r="H21" s="201">
        <v>10</v>
      </c>
      <c r="I21" s="200">
        <f t="shared" si="6"/>
        <v>-9</v>
      </c>
      <c r="J21" s="222">
        <f t="shared" si="7"/>
        <v>-90</v>
      </c>
      <c r="K21" s="200"/>
      <c r="L21" s="200"/>
      <c r="M21" s="221"/>
      <c r="N21" s="200"/>
    </row>
    <row r="22" spans="1:14">
      <c r="A22" s="198" t="s">
        <v>138</v>
      </c>
      <c r="B22" s="199">
        <v>2010299</v>
      </c>
      <c r="C22" s="199" t="s">
        <v>149</v>
      </c>
      <c r="D22" s="200"/>
      <c r="E22" s="195"/>
      <c r="F22" s="201">
        <v>49</v>
      </c>
      <c r="G22" s="197"/>
      <c r="H22" s="201">
        <v>10</v>
      </c>
      <c r="I22" s="200">
        <f t="shared" si="6"/>
        <v>39</v>
      </c>
      <c r="J22" s="222">
        <f t="shared" si="7"/>
        <v>390</v>
      </c>
      <c r="K22" s="200">
        <v>34</v>
      </c>
      <c r="L22" s="200">
        <f t="shared" si="8"/>
        <v>34</v>
      </c>
      <c r="M22" s="221"/>
      <c r="N22" s="200"/>
    </row>
    <row r="23" s="162" customFormat="1" spans="1:14">
      <c r="A23" s="186" t="s">
        <v>136</v>
      </c>
      <c r="B23" s="187">
        <v>20103</v>
      </c>
      <c r="C23" s="188" t="s">
        <v>150</v>
      </c>
      <c r="D23" s="189">
        <f>SUM(D24:D28)</f>
        <v>3553</v>
      </c>
      <c r="E23" s="190">
        <f>SUM(E24:E28)</f>
        <v>5893</v>
      </c>
      <c r="F23" s="189">
        <f>SUM(F24:F28)</f>
        <v>3122</v>
      </c>
      <c r="G23" s="191">
        <f t="shared" si="5"/>
        <v>87.86940613566</v>
      </c>
      <c r="H23" s="189">
        <f>SUM(H24:H28)</f>
        <v>6128</v>
      </c>
      <c r="I23" s="189">
        <f t="shared" si="6"/>
        <v>-3006</v>
      </c>
      <c r="J23" s="218">
        <f t="shared" si="7"/>
        <v>-49.0535248041775</v>
      </c>
      <c r="K23" s="189">
        <f>SUM(K24:K28)</f>
        <v>3676</v>
      </c>
      <c r="L23" s="189">
        <f t="shared" si="8"/>
        <v>123</v>
      </c>
      <c r="M23" s="191">
        <f t="shared" si="10"/>
        <v>3.4618632141852</v>
      </c>
      <c r="N23" s="219"/>
    </row>
    <row r="24" s="163" customFormat="1" spans="1:14">
      <c r="A24" s="192" t="s">
        <v>138</v>
      </c>
      <c r="B24" s="193">
        <v>2010301</v>
      </c>
      <c r="C24" s="193" t="s">
        <v>139</v>
      </c>
      <c r="D24" s="202">
        <v>2491</v>
      </c>
      <c r="E24" s="195">
        <f>300+3990</f>
        <v>4290</v>
      </c>
      <c r="F24" s="196">
        <v>2884</v>
      </c>
      <c r="G24" s="197">
        <f t="shared" si="5"/>
        <v>115.776796467282</v>
      </c>
      <c r="H24" s="196">
        <v>4898</v>
      </c>
      <c r="I24" s="202">
        <f t="shared" si="6"/>
        <v>-2014</v>
      </c>
      <c r="J24" s="220">
        <f t="shared" si="7"/>
        <v>-41.1188240097999</v>
      </c>
      <c r="K24" s="202">
        <v>2676</v>
      </c>
      <c r="L24" s="202">
        <f t="shared" si="8"/>
        <v>185</v>
      </c>
      <c r="M24" s="221">
        <f t="shared" si="10"/>
        <v>7.42673625050181</v>
      </c>
      <c r="N24" s="202"/>
    </row>
    <row r="25" spans="1:14">
      <c r="A25" s="198" t="s">
        <v>138</v>
      </c>
      <c r="B25" s="199">
        <v>2010302</v>
      </c>
      <c r="C25" s="199" t="s">
        <v>140</v>
      </c>
      <c r="D25" s="200"/>
      <c r="E25" s="195"/>
      <c r="F25" s="201"/>
      <c r="G25" s="197"/>
      <c r="H25" s="201"/>
      <c r="I25" s="200"/>
      <c r="J25" s="222"/>
      <c r="K25" s="200"/>
      <c r="L25" s="200"/>
      <c r="M25" s="221"/>
      <c r="N25" s="200"/>
    </row>
    <row r="26" s="163" customFormat="1" spans="1:14">
      <c r="A26" s="192" t="s">
        <v>138</v>
      </c>
      <c r="B26" s="193">
        <v>2010303</v>
      </c>
      <c r="C26" s="193" t="s">
        <v>141</v>
      </c>
      <c r="D26" s="202">
        <v>85</v>
      </c>
      <c r="E26" s="195">
        <v>105</v>
      </c>
      <c r="F26" s="196">
        <v>78</v>
      </c>
      <c r="G26" s="197">
        <f t="shared" si="5"/>
        <v>91.7647058823529</v>
      </c>
      <c r="H26" s="196">
        <v>96</v>
      </c>
      <c r="I26" s="202">
        <f t="shared" si="6"/>
        <v>-18</v>
      </c>
      <c r="J26" s="220">
        <f t="shared" si="7"/>
        <v>-18.75</v>
      </c>
      <c r="K26" s="202"/>
      <c r="L26" s="202">
        <f t="shared" si="8"/>
        <v>-85</v>
      </c>
      <c r="M26" s="221">
        <f t="shared" si="10"/>
        <v>-100</v>
      </c>
      <c r="N26" s="202"/>
    </row>
    <row r="27" s="163" customFormat="1" spans="1:14">
      <c r="A27" s="192" t="s">
        <v>138</v>
      </c>
      <c r="B27" s="193">
        <v>2010350</v>
      </c>
      <c r="C27" s="193" t="s">
        <v>148</v>
      </c>
      <c r="D27" s="202">
        <f>230+20</f>
        <v>250</v>
      </c>
      <c r="E27" s="195">
        <v>923</v>
      </c>
      <c r="F27" s="196">
        <v>119</v>
      </c>
      <c r="G27" s="197">
        <f t="shared" si="5"/>
        <v>47.6</v>
      </c>
      <c r="H27" s="196">
        <v>624</v>
      </c>
      <c r="I27" s="202">
        <f t="shared" si="6"/>
        <v>-505</v>
      </c>
      <c r="J27" s="220">
        <f t="shared" si="7"/>
        <v>-80.9294871794872</v>
      </c>
      <c r="K27" s="202">
        <v>141</v>
      </c>
      <c r="L27" s="202">
        <f t="shared" si="8"/>
        <v>-109</v>
      </c>
      <c r="M27" s="221">
        <f t="shared" si="10"/>
        <v>-43.6</v>
      </c>
      <c r="N27" s="202"/>
    </row>
    <row r="28" s="163" customFormat="1" spans="1:14">
      <c r="A28" s="192" t="s">
        <v>138</v>
      </c>
      <c r="B28" s="193">
        <v>2010399</v>
      </c>
      <c r="C28" s="193" t="s">
        <v>151</v>
      </c>
      <c r="D28" s="202">
        <f>712+15</f>
        <v>727</v>
      </c>
      <c r="E28" s="195">
        <v>575</v>
      </c>
      <c r="F28" s="196">
        <v>41</v>
      </c>
      <c r="G28" s="197">
        <f t="shared" si="5"/>
        <v>5.63961485557084</v>
      </c>
      <c r="H28" s="196">
        <v>510</v>
      </c>
      <c r="I28" s="202">
        <f t="shared" si="6"/>
        <v>-469</v>
      </c>
      <c r="J28" s="220">
        <f t="shared" si="7"/>
        <v>-91.9607843137255</v>
      </c>
      <c r="K28" s="202">
        <v>859</v>
      </c>
      <c r="L28" s="202">
        <f t="shared" si="8"/>
        <v>132</v>
      </c>
      <c r="M28" s="221">
        <f t="shared" si="10"/>
        <v>18.1568088033012</v>
      </c>
      <c r="N28" s="202"/>
    </row>
    <row r="29" s="162" customFormat="1" spans="1:14">
      <c r="A29" s="186" t="s">
        <v>136</v>
      </c>
      <c r="B29" s="187">
        <v>20104</v>
      </c>
      <c r="C29" s="188" t="s">
        <v>152</v>
      </c>
      <c r="D29" s="189">
        <f>SUM(D30:D33)</f>
        <v>92</v>
      </c>
      <c r="E29" s="190">
        <f>SUM(E30:E33)</f>
        <v>95</v>
      </c>
      <c r="F29" s="189">
        <f>SUM(F30:F33)</f>
        <v>3715</v>
      </c>
      <c r="G29" s="191">
        <f t="shared" si="5"/>
        <v>4038.04347826087</v>
      </c>
      <c r="H29" s="189">
        <f>SUM(H30:H33)</f>
        <v>174</v>
      </c>
      <c r="I29" s="189">
        <f t="shared" si="6"/>
        <v>3541</v>
      </c>
      <c r="J29" s="218">
        <f t="shared" si="7"/>
        <v>2035.05747126437</v>
      </c>
      <c r="K29" s="189">
        <f>SUM(K30:K33)</f>
        <v>132</v>
      </c>
      <c r="L29" s="189">
        <f t="shared" si="8"/>
        <v>40</v>
      </c>
      <c r="M29" s="191">
        <f t="shared" si="10"/>
        <v>43.4782608695652</v>
      </c>
      <c r="N29" s="219"/>
    </row>
    <row r="30" s="163" customFormat="1" spans="1:14">
      <c r="A30" s="192" t="s">
        <v>138</v>
      </c>
      <c r="B30" s="193">
        <v>2010401</v>
      </c>
      <c r="C30" s="193" t="s">
        <v>139</v>
      </c>
      <c r="D30" s="202">
        <v>36</v>
      </c>
      <c r="E30" s="195">
        <v>45</v>
      </c>
      <c r="F30" s="196">
        <v>50</v>
      </c>
      <c r="G30" s="197">
        <f t="shared" si="5"/>
        <v>138.888888888889</v>
      </c>
      <c r="H30" s="196">
        <v>36</v>
      </c>
      <c r="I30" s="202">
        <f t="shared" si="6"/>
        <v>14</v>
      </c>
      <c r="J30" s="220">
        <f t="shared" si="7"/>
        <v>38.8888888888889</v>
      </c>
      <c r="K30" s="202">
        <v>49</v>
      </c>
      <c r="L30" s="202">
        <f t="shared" si="8"/>
        <v>13</v>
      </c>
      <c r="M30" s="221">
        <f t="shared" si="10"/>
        <v>36.1111111111111</v>
      </c>
      <c r="N30" s="202"/>
    </row>
    <row r="31" spans="1:14">
      <c r="A31" s="198" t="s">
        <v>138</v>
      </c>
      <c r="B31" s="199">
        <v>2010402</v>
      </c>
      <c r="C31" s="199" t="s">
        <v>140</v>
      </c>
      <c r="D31" s="200"/>
      <c r="E31" s="195"/>
      <c r="F31" s="201"/>
      <c r="G31" s="197"/>
      <c r="H31" s="201"/>
      <c r="I31" s="200"/>
      <c r="J31" s="222"/>
      <c r="K31" s="200"/>
      <c r="L31" s="200"/>
      <c r="M31" s="221"/>
      <c r="N31" s="200"/>
    </row>
    <row r="32" s="163" customFormat="1" spans="1:14">
      <c r="A32" s="192" t="s">
        <v>138</v>
      </c>
      <c r="B32" s="193">
        <v>2010450</v>
      </c>
      <c r="C32" s="193" t="s">
        <v>148</v>
      </c>
      <c r="D32" s="202">
        <v>56</v>
      </c>
      <c r="E32" s="195">
        <v>50</v>
      </c>
      <c r="F32" s="196">
        <v>55</v>
      </c>
      <c r="G32" s="197">
        <f t="shared" si="5"/>
        <v>98.2142857142857</v>
      </c>
      <c r="H32" s="196">
        <v>68</v>
      </c>
      <c r="I32" s="202">
        <f t="shared" si="6"/>
        <v>-13</v>
      </c>
      <c r="J32" s="220">
        <f t="shared" si="7"/>
        <v>-19.1176470588235</v>
      </c>
      <c r="K32" s="202">
        <v>58</v>
      </c>
      <c r="L32" s="202">
        <f t="shared" si="8"/>
        <v>2</v>
      </c>
      <c r="M32" s="221">
        <f t="shared" si="10"/>
        <v>3.57142857142857</v>
      </c>
      <c r="N32" s="202"/>
    </row>
    <row r="33" spans="1:14">
      <c r="A33" s="198" t="s">
        <v>138</v>
      </c>
      <c r="B33" s="199">
        <v>2010499</v>
      </c>
      <c r="C33" s="199" t="s">
        <v>153</v>
      </c>
      <c r="D33" s="200"/>
      <c r="E33" s="195"/>
      <c r="F33" s="201">
        <v>3610</v>
      </c>
      <c r="G33" s="197"/>
      <c r="H33" s="201">
        <v>70</v>
      </c>
      <c r="I33" s="200">
        <f t="shared" si="6"/>
        <v>3540</v>
      </c>
      <c r="J33" s="222">
        <f t="shared" si="7"/>
        <v>5057.14285714286</v>
      </c>
      <c r="K33" s="200">
        <v>25</v>
      </c>
      <c r="L33" s="200">
        <f t="shared" si="8"/>
        <v>25</v>
      </c>
      <c r="M33" s="221"/>
      <c r="N33" s="200"/>
    </row>
    <row r="34" s="162" customFormat="1" spans="1:14">
      <c r="A34" s="186" t="s">
        <v>136</v>
      </c>
      <c r="B34" s="187">
        <v>20105</v>
      </c>
      <c r="C34" s="188" t="s">
        <v>154</v>
      </c>
      <c r="D34" s="189">
        <f>SUM(D35:D41)</f>
        <v>87</v>
      </c>
      <c r="E34" s="190">
        <f>SUM(E35:E41)</f>
        <v>110</v>
      </c>
      <c r="F34" s="189">
        <f>SUM(F35:F41)</f>
        <v>147</v>
      </c>
      <c r="G34" s="191">
        <f t="shared" si="5"/>
        <v>168.965517241379</v>
      </c>
      <c r="H34" s="189">
        <f>SUM(H35:H41)</f>
        <v>160</v>
      </c>
      <c r="I34" s="189">
        <f t="shared" si="6"/>
        <v>-13</v>
      </c>
      <c r="J34" s="218">
        <f t="shared" si="7"/>
        <v>-8.125</v>
      </c>
      <c r="K34" s="189">
        <f>SUM(K35:K41)</f>
        <v>136</v>
      </c>
      <c r="L34" s="189">
        <f t="shared" si="8"/>
        <v>49</v>
      </c>
      <c r="M34" s="191">
        <f t="shared" si="10"/>
        <v>56.3218390804598</v>
      </c>
      <c r="N34" s="219"/>
    </row>
    <row r="35" s="163" customFormat="1" spans="1:14">
      <c r="A35" s="192" t="s">
        <v>138</v>
      </c>
      <c r="B35" s="193">
        <v>2010501</v>
      </c>
      <c r="C35" s="193" t="s">
        <v>139</v>
      </c>
      <c r="D35" s="202">
        <v>57</v>
      </c>
      <c r="E35" s="195">
        <v>63</v>
      </c>
      <c r="F35" s="196">
        <v>65</v>
      </c>
      <c r="G35" s="197">
        <f t="shared" si="5"/>
        <v>114.035087719298</v>
      </c>
      <c r="H35" s="196">
        <v>54</v>
      </c>
      <c r="I35" s="202">
        <f t="shared" si="6"/>
        <v>11</v>
      </c>
      <c r="J35" s="220">
        <f t="shared" si="7"/>
        <v>20.3703703703704</v>
      </c>
      <c r="K35" s="202">
        <v>75</v>
      </c>
      <c r="L35" s="202">
        <f t="shared" si="8"/>
        <v>18</v>
      </c>
      <c r="M35" s="221">
        <f t="shared" si="10"/>
        <v>31.5789473684211</v>
      </c>
      <c r="N35" s="202"/>
    </row>
    <row r="36" spans="1:14">
      <c r="A36" s="198" t="s">
        <v>138</v>
      </c>
      <c r="B36" s="199">
        <v>2010505</v>
      </c>
      <c r="C36" s="199" t="s">
        <v>155</v>
      </c>
      <c r="D36" s="200"/>
      <c r="E36" s="195"/>
      <c r="F36" s="201"/>
      <c r="G36" s="197"/>
      <c r="H36" s="201">
        <v>7</v>
      </c>
      <c r="I36" s="200">
        <f t="shared" ref="I36:I83" si="11">F36-H36</f>
        <v>-7</v>
      </c>
      <c r="J36" s="222">
        <f t="shared" ref="J36:J83" si="12">I36/H36*100</f>
        <v>-100</v>
      </c>
      <c r="K36" s="200"/>
      <c r="L36" s="200"/>
      <c r="M36" s="221"/>
      <c r="N36" s="200"/>
    </row>
    <row r="37" spans="1:14">
      <c r="A37" s="198" t="s">
        <v>138</v>
      </c>
      <c r="B37" s="199">
        <v>2010506</v>
      </c>
      <c r="C37" s="199" t="s">
        <v>156</v>
      </c>
      <c r="D37" s="200"/>
      <c r="E37" s="195"/>
      <c r="F37" s="201">
        <v>21</v>
      </c>
      <c r="G37" s="197"/>
      <c r="H37" s="201">
        <v>12</v>
      </c>
      <c r="I37" s="200">
        <f t="shared" si="11"/>
        <v>9</v>
      </c>
      <c r="J37" s="222">
        <f t="shared" si="12"/>
        <v>75</v>
      </c>
      <c r="K37" s="200"/>
      <c r="L37" s="200"/>
      <c r="M37" s="221"/>
      <c r="N37" s="200"/>
    </row>
    <row r="38" spans="1:14">
      <c r="A38" s="198" t="s">
        <v>138</v>
      </c>
      <c r="B38" s="199">
        <v>2010507</v>
      </c>
      <c r="C38" s="199" t="s">
        <v>157</v>
      </c>
      <c r="D38" s="200"/>
      <c r="E38" s="195"/>
      <c r="F38" s="201">
        <v>11</v>
      </c>
      <c r="G38" s="197"/>
      <c r="H38" s="201">
        <v>21</v>
      </c>
      <c r="I38" s="200">
        <f t="shared" si="11"/>
        <v>-10</v>
      </c>
      <c r="J38" s="222">
        <f t="shared" si="12"/>
        <v>-47.6190476190476</v>
      </c>
      <c r="K38" s="200">
        <v>28</v>
      </c>
      <c r="L38" s="200">
        <f>K38-D38</f>
        <v>28</v>
      </c>
      <c r="M38" s="221"/>
      <c r="N38" s="200"/>
    </row>
    <row r="39" spans="1:14">
      <c r="A39" s="198" t="s">
        <v>138</v>
      </c>
      <c r="B39" s="199">
        <v>2010508</v>
      </c>
      <c r="C39" s="199" t="s">
        <v>158</v>
      </c>
      <c r="D39" s="200"/>
      <c r="E39" s="195"/>
      <c r="F39" s="201">
        <v>19</v>
      </c>
      <c r="G39" s="197"/>
      <c r="H39" s="201">
        <v>16</v>
      </c>
      <c r="I39" s="200">
        <f t="shared" si="11"/>
        <v>3</v>
      </c>
      <c r="J39" s="222">
        <f t="shared" si="12"/>
        <v>18.75</v>
      </c>
      <c r="K39" s="200"/>
      <c r="L39" s="200"/>
      <c r="M39" s="221"/>
      <c r="N39" s="200"/>
    </row>
    <row r="40" s="163" customFormat="1" spans="1:14">
      <c r="A40" s="192" t="s">
        <v>138</v>
      </c>
      <c r="B40" s="193">
        <v>2010550</v>
      </c>
      <c r="C40" s="193" t="s">
        <v>148</v>
      </c>
      <c r="D40" s="202">
        <v>30</v>
      </c>
      <c r="E40" s="195">
        <v>47</v>
      </c>
      <c r="F40" s="196">
        <v>31</v>
      </c>
      <c r="G40" s="197">
        <f t="shared" si="5"/>
        <v>103.333333333333</v>
      </c>
      <c r="H40" s="196">
        <v>50</v>
      </c>
      <c r="I40" s="202">
        <f t="shared" si="11"/>
        <v>-19</v>
      </c>
      <c r="J40" s="220">
        <f t="shared" si="12"/>
        <v>-38</v>
      </c>
      <c r="K40" s="202">
        <v>33</v>
      </c>
      <c r="L40" s="202">
        <f>K40-D40</f>
        <v>3</v>
      </c>
      <c r="M40" s="221">
        <f>L40/D40*100</f>
        <v>10</v>
      </c>
      <c r="N40" s="202"/>
    </row>
    <row r="41" spans="1:14">
      <c r="A41" s="198" t="s">
        <v>138</v>
      </c>
      <c r="B41" s="199">
        <v>2010599</v>
      </c>
      <c r="C41" s="199" t="s">
        <v>159</v>
      </c>
      <c r="D41" s="200"/>
      <c r="E41" s="195"/>
      <c r="F41" s="201"/>
      <c r="G41" s="197"/>
      <c r="H41" s="201"/>
      <c r="I41" s="200"/>
      <c r="J41" s="222"/>
      <c r="K41" s="200"/>
      <c r="L41" s="200"/>
      <c r="M41" s="221"/>
      <c r="N41" s="200"/>
    </row>
    <row r="42" s="162" customFormat="1" spans="1:14">
      <c r="A42" s="186" t="s">
        <v>136</v>
      </c>
      <c r="B42" s="187">
        <v>20106</v>
      </c>
      <c r="C42" s="188" t="s">
        <v>160</v>
      </c>
      <c r="D42" s="189">
        <f>SUM(D43:D48)</f>
        <v>165</v>
      </c>
      <c r="E42" s="190">
        <f>SUM(E43:E48)</f>
        <v>292</v>
      </c>
      <c r="F42" s="189">
        <f>SUM(F43:F48)</f>
        <v>445</v>
      </c>
      <c r="G42" s="191">
        <f t="shared" si="5"/>
        <v>269.69696969697</v>
      </c>
      <c r="H42" s="189">
        <f>SUM(H43:H48)</f>
        <v>196</v>
      </c>
      <c r="I42" s="189">
        <f t="shared" si="11"/>
        <v>249</v>
      </c>
      <c r="J42" s="218">
        <f t="shared" si="12"/>
        <v>127.040816326531</v>
      </c>
      <c r="K42" s="189">
        <f>SUM(K43:K48)</f>
        <v>365</v>
      </c>
      <c r="L42" s="189">
        <f>K42-D42</f>
        <v>200</v>
      </c>
      <c r="M42" s="191">
        <f>L42/D42*100</f>
        <v>121.212121212121</v>
      </c>
      <c r="N42" s="219"/>
    </row>
    <row r="43" s="163" customFormat="1" spans="1:14">
      <c r="A43" s="192" t="s">
        <v>138</v>
      </c>
      <c r="B43" s="193">
        <v>2010601</v>
      </c>
      <c r="C43" s="193" t="s">
        <v>139</v>
      </c>
      <c r="D43" s="202">
        <v>75</v>
      </c>
      <c r="E43" s="195">
        <v>202</v>
      </c>
      <c r="F43" s="196">
        <v>165</v>
      </c>
      <c r="G43" s="197">
        <f t="shared" si="5"/>
        <v>220</v>
      </c>
      <c r="H43" s="196">
        <v>128</v>
      </c>
      <c r="I43" s="202">
        <f t="shared" si="11"/>
        <v>37</v>
      </c>
      <c r="J43" s="220">
        <f t="shared" si="12"/>
        <v>28.90625</v>
      </c>
      <c r="K43" s="202">
        <v>117</v>
      </c>
      <c r="L43" s="202">
        <f>K43-D43</f>
        <v>42</v>
      </c>
      <c r="M43" s="221">
        <f>L43/D43*100</f>
        <v>56</v>
      </c>
      <c r="N43" s="202"/>
    </row>
    <row r="44" s="163" customFormat="1" spans="1:14">
      <c r="A44" s="192" t="s">
        <v>138</v>
      </c>
      <c r="B44" s="193">
        <v>2010602</v>
      </c>
      <c r="C44" s="193" t="s">
        <v>140</v>
      </c>
      <c r="D44" s="202">
        <v>90</v>
      </c>
      <c r="E44" s="195">
        <v>20</v>
      </c>
      <c r="F44" s="196">
        <v>48</v>
      </c>
      <c r="G44" s="197">
        <f t="shared" si="5"/>
        <v>53.3333333333333</v>
      </c>
      <c r="H44" s="196">
        <v>14</v>
      </c>
      <c r="I44" s="202">
        <f t="shared" si="11"/>
        <v>34</v>
      </c>
      <c r="J44" s="220">
        <f t="shared" si="12"/>
        <v>242.857142857143</v>
      </c>
      <c r="K44" s="202"/>
      <c r="L44" s="202">
        <f>K44-D44</f>
        <v>-90</v>
      </c>
      <c r="M44" s="221">
        <f>L44/D44*100</f>
        <v>-100</v>
      </c>
      <c r="N44" s="202"/>
    </row>
    <row r="45" spans="1:14">
      <c r="A45" s="198" t="s">
        <v>138</v>
      </c>
      <c r="B45" s="199">
        <v>2010607</v>
      </c>
      <c r="C45" s="199" t="s">
        <v>161</v>
      </c>
      <c r="D45" s="200"/>
      <c r="E45" s="195"/>
      <c r="F45" s="201"/>
      <c r="G45" s="197"/>
      <c r="H45" s="201">
        <v>51</v>
      </c>
      <c r="I45" s="200">
        <f t="shared" si="11"/>
        <v>-51</v>
      </c>
      <c r="J45" s="222">
        <f t="shared" si="12"/>
        <v>-100</v>
      </c>
      <c r="K45" s="200">
        <v>91</v>
      </c>
      <c r="L45" s="200">
        <f>K45-D45</f>
        <v>91</v>
      </c>
      <c r="M45" s="221"/>
      <c r="N45" s="200"/>
    </row>
    <row r="46" spans="1:14">
      <c r="A46" s="198" t="s">
        <v>138</v>
      </c>
      <c r="B46" s="199">
        <v>2010608</v>
      </c>
      <c r="C46" s="199" t="s">
        <v>162</v>
      </c>
      <c r="D46" s="200"/>
      <c r="E46" s="195">
        <v>70</v>
      </c>
      <c r="F46" s="201"/>
      <c r="G46" s="197"/>
      <c r="H46" s="201"/>
      <c r="I46" s="200"/>
      <c r="J46" s="222"/>
      <c r="K46" s="200"/>
      <c r="L46" s="200"/>
      <c r="M46" s="221"/>
      <c r="N46" s="200"/>
    </row>
    <row r="47" spans="1:14">
      <c r="A47" s="198" t="s">
        <v>138</v>
      </c>
      <c r="B47" s="199">
        <v>2010650</v>
      </c>
      <c r="C47" s="199" t="s">
        <v>148</v>
      </c>
      <c r="D47" s="200"/>
      <c r="E47" s="195"/>
      <c r="F47" s="201"/>
      <c r="G47" s="197"/>
      <c r="H47" s="201"/>
      <c r="I47" s="200"/>
      <c r="J47" s="222"/>
      <c r="K47" s="200"/>
      <c r="L47" s="200"/>
      <c r="M47" s="221"/>
      <c r="N47" s="200"/>
    </row>
    <row r="48" spans="1:14">
      <c r="A48" s="198" t="s">
        <v>138</v>
      </c>
      <c r="B48" s="199">
        <v>2010699</v>
      </c>
      <c r="C48" s="199" t="s">
        <v>163</v>
      </c>
      <c r="D48" s="200"/>
      <c r="E48" s="195"/>
      <c r="F48" s="201">
        <v>232</v>
      </c>
      <c r="G48" s="197"/>
      <c r="H48" s="201">
        <v>3</v>
      </c>
      <c r="I48" s="200">
        <f t="shared" si="11"/>
        <v>229</v>
      </c>
      <c r="J48" s="222">
        <f t="shared" si="12"/>
        <v>7633.33333333333</v>
      </c>
      <c r="K48" s="200">
        <v>157</v>
      </c>
      <c r="L48" s="200">
        <f>K48-D48</f>
        <v>157</v>
      </c>
      <c r="M48" s="221"/>
      <c r="N48" s="200"/>
    </row>
    <row r="49" s="162" customFormat="1" spans="1:14">
      <c r="A49" s="186" t="s">
        <v>136</v>
      </c>
      <c r="B49" s="187">
        <v>20107</v>
      </c>
      <c r="C49" s="188" t="s">
        <v>164</v>
      </c>
      <c r="D49" s="189"/>
      <c r="E49" s="190">
        <f>SUM(E50:E52)</f>
        <v>0</v>
      </c>
      <c r="F49" s="189">
        <f>SUM(F50:F52)</f>
        <v>353</v>
      </c>
      <c r="G49" s="191"/>
      <c r="H49" s="189">
        <f>SUM(H50:H52)</f>
        <v>40</v>
      </c>
      <c r="I49" s="189">
        <f t="shared" si="11"/>
        <v>313</v>
      </c>
      <c r="J49" s="218">
        <f t="shared" si="12"/>
        <v>782.5</v>
      </c>
      <c r="K49" s="189">
        <f>SUM(K50:K52)</f>
        <v>467</v>
      </c>
      <c r="L49" s="189">
        <f>K49-D49</f>
        <v>467</v>
      </c>
      <c r="M49" s="191"/>
      <c r="N49" s="219"/>
    </row>
    <row r="50" spans="1:14">
      <c r="A50" s="198" t="s">
        <v>138</v>
      </c>
      <c r="B50" s="199">
        <v>2010710</v>
      </c>
      <c r="C50" s="199" t="s">
        <v>165</v>
      </c>
      <c r="D50" s="200"/>
      <c r="E50" s="195"/>
      <c r="F50" s="201"/>
      <c r="G50" s="197"/>
      <c r="H50" s="201">
        <v>30</v>
      </c>
      <c r="I50" s="200">
        <f t="shared" si="11"/>
        <v>-30</v>
      </c>
      <c r="J50" s="222">
        <f t="shared" si="12"/>
        <v>-100</v>
      </c>
      <c r="K50" s="200"/>
      <c r="L50" s="200"/>
      <c r="M50" s="221"/>
      <c r="N50" s="200"/>
    </row>
    <row r="51" spans="1:14">
      <c r="A51" s="198" t="s">
        <v>138</v>
      </c>
      <c r="B51" s="199">
        <v>2010750</v>
      </c>
      <c r="C51" s="199" t="s">
        <v>148</v>
      </c>
      <c r="D51" s="200"/>
      <c r="E51" s="195"/>
      <c r="F51" s="201"/>
      <c r="G51" s="197"/>
      <c r="H51" s="201"/>
      <c r="I51" s="200"/>
      <c r="J51" s="222"/>
      <c r="K51" s="200"/>
      <c r="L51" s="200"/>
      <c r="M51" s="221"/>
      <c r="N51" s="200"/>
    </row>
    <row r="52" spans="1:14">
      <c r="A52" s="198" t="s">
        <v>138</v>
      </c>
      <c r="B52" s="199">
        <v>2010799</v>
      </c>
      <c r="C52" s="199" t="s">
        <v>166</v>
      </c>
      <c r="D52" s="200"/>
      <c r="E52" s="195"/>
      <c r="F52" s="201">
        <v>353</v>
      </c>
      <c r="G52" s="197"/>
      <c r="H52" s="201">
        <v>10</v>
      </c>
      <c r="I52" s="200">
        <f t="shared" si="11"/>
        <v>343</v>
      </c>
      <c r="J52" s="222">
        <f t="shared" si="12"/>
        <v>3430</v>
      </c>
      <c r="K52" s="200">
        <v>467</v>
      </c>
      <c r="L52" s="200">
        <f>K52-D52</f>
        <v>467</v>
      </c>
      <c r="M52" s="221"/>
      <c r="N52" s="200"/>
    </row>
    <row r="53" s="162" customFormat="1" spans="1:14">
      <c r="A53" s="186" t="s">
        <v>136</v>
      </c>
      <c r="B53" s="187">
        <v>20108</v>
      </c>
      <c r="C53" s="188" t="s">
        <v>167</v>
      </c>
      <c r="D53" s="189">
        <f>SUM(D54:D56)</f>
        <v>21</v>
      </c>
      <c r="E53" s="190">
        <f>SUM(E54:E56)</f>
        <v>38</v>
      </c>
      <c r="F53" s="189">
        <f>SUM(F54:F56)</f>
        <v>26</v>
      </c>
      <c r="G53" s="191">
        <f t="shared" si="5"/>
        <v>123.809523809524</v>
      </c>
      <c r="H53" s="189">
        <f>SUM(H54:H56)</f>
        <v>41</v>
      </c>
      <c r="I53" s="189">
        <f t="shared" si="11"/>
        <v>-15</v>
      </c>
      <c r="J53" s="218">
        <f t="shared" si="12"/>
        <v>-36.5853658536585</v>
      </c>
      <c r="K53" s="189">
        <f>SUM(K54:K56)</f>
        <v>30</v>
      </c>
      <c r="L53" s="189">
        <f>K53-D53</f>
        <v>9</v>
      </c>
      <c r="M53" s="191">
        <f>L53/D53*100</f>
        <v>42.8571428571429</v>
      </c>
      <c r="N53" s="219"/>
    </row>
    <row r="54" s="163" customFormat="1" spans="1:14">
      <c r="A54" s="192" t="s">
        <v>138</v>
      </c>
      <c r="B54" s="193">
        <v>2010801</v>
      </c>
      <c r="C54" s="193" t="s">
        <v>139</v>
      </c>
      <c r="D54" s="202">
        <v>21</v>
      </c>
      <c r="E54" s="195">
        <v>38</v>
      </c>
      <c r="F54" s="196">
        <v>26</v>
      </c>
      <c r="G54" s="197">
        <f t="shared" si="5"/>
        <v>123.809523809524</v>
      </c>
      <c r="H54" s="196">
        <v>32</v>
      </c>
      <c r="I54" s="202">
        <f t="shared" si="11"/>
        <v>-6</v>
      </c>
      <c r="J54" s="220">
        <f t="shared" si="12"/>
        <v>-18.75</v>
      </c>
      <c r="K54" s="202">
        <v>30</v>
      </c>
      <c r="L54" s="202">
        <f>K54-D54</f>
        <v>9</v>
      </c>
      <c r="M54" s="221">
        <f>L54/D54*100</f>
        <v>42.8571428571429</v>
      </c>
      <c r="N54" s="202"/>
    </row>
    <row r="55" spans="1:14">
      <c r="A55" s="198" t="s">
        <v>138</v>
      </c>
      <c r="B55" s="199">
        <v>2010804</v>
      </c>
      <c r="C55" s="199" t="s">
        <v>168</v>
      </c>
      <c r="D55" s="200"/>
      <c r="E55" s="195"/>
      <c r="F55" s="201"/>
      <c r="G55" s="197"/>
      <c r="H55" s="201">
        <v>9</v>
      </c>
      <c r="I55" s="200">
        <f t="shared" si="11"/>
        <v>-9</v>
      </c>
      <c r="J55" s="222">
        <f t="shared" si="12"/>
        <v>-100</v>
      </c>
      <c r="K55" s="200"/>
      <c r="L55" s="200"/>
      <c r="M55" s="221"/>
      <c r="N55" s="200"/>
    </row>
    <row r="56" spans="1:14">
      <c r="A56" s="198" t="s">
        <v>138</v>
      </c>
      <c r="B56" s="199">
        <v>2010899</v>
      </c>
      <c r="C56" s="199" t="s">
        <v>169</v>
      </c>
      <c r="D56" s="200"/>
      <c r="E56" s="195"/>
      <c r="F56" s="201"/>
      <c r="G56" s="197"/>
      <c r="H56" s="201"/>
      <c r="I56" s="200"/>
      <c r="J56" s="222"/>
      <c r="K56" s="200"/>
      <c r="L56" s="200"/>
      <c r="M56" s="221"/>
      <c r="N56" s="200"/>
    </row>
    <row r="57" s="162" customFormat="1" spans="1:14">
      <c r="A57" s="186" t="s">
        <v>136</v>
      </c>
      <c r="B57" s="187">
        <v>20109</v>
      </c>
      <c r="C57" s="188" t="s">
        <v>170</v>
      </c>
      <c r="D57" s="189"/>
      <c r="E57" s="190"/>
      <c r="F57" s="189"/>
      <c r="G57" s="191"/>
      <c r="H57" s="189"/>
      <c r="I57" s="189"/>
      <c r="J57" s="218"/>
      <c r="K57" s="189"/>
      <c r="L57" s="189"/>
      <c r="M57" s="191"/>
      <c r="N57" s="219"/>
    </row>
    <row r="58" spans="1:14">
      <c r="A58" s="198" t="s">
        <v>138</v>
      </c>
      <c r="B58" s="199">
        <v>2010999</v>
      </c>
      <c r="C58" s="199" t="s">
        <v>171</v>
      </c>
      <c r="D58" s="200"/>
      <c r="E58" s="195"/>
      <c r="F58" s="201"/>
      <c r="G58" s="197"/>
      <c r="H58" s="201"/>
      <c r="I58" s="200"/>
      <c r="J58" s="222"/>
      <c r="K58" s="200"/>
      <c r="L58" s="200"/>
      <c r="M58" s="221"/>
      <c r="N58" s="200"/>
    </row>
    <row r="59" s="162" customFormat="1" spans="1:14">
      <c r="A59" s="186" t="s">
        <v>136</v>
      </c>
      <c r="B59" s="187">
        <v>20111</v>
      </c>
      <c r="C59" s="188" t="s">
        <v>172</v>
      </c>
      <c r="D59" s="189">
        <f>SUM(D60:D62)</f>
        <v>262</v>
      </c>
      <c r="E59" s="190">
        <f>SUM(E60:E62)</f>
        <v>401</v>
      </c>
      <c r="F59" s="189">
        <f>SUM(F60:F62)</f>
        <v>382</v>
      </c>
      <c r="G59" s="191">
        <f t="shared" si="5"/>
        <v>145.801526717557</v>
      </c>
      <c r="H59" s="189">
        <f>SUM(H60:H62)</f>
        <v>401</v>
      </c>
      <c r="I59" s="189">
        <f t="shared" si="11"/>
        <v>-19</v>
      </c>
      <c r="J59" s="218">
        <f t="shared" si="12"/>
        <v>-4.73815461346633</v>
      </c>
      <c r="K59" s="189">
        <f>SUM(K60:K62)</f>
        <v>308</v>
      </c>
      <c r="L59" s="189">
        <f>K59-D59</f>
        <v>46</v>
      </c>
      <c r="M59" s="191">
        <f>L59/D59*100</f>
        <v>17.5572519083969</v>
      </c>
      <c r="N59" s="219"/>
    </row>
    <row r="60" s="163" customFormat="1" spans="1:14">
      <c r="A60" s="192" t="s">
        <v>138</v>
      </c>
      <c r="B60" s="193">
        <v>2011101</v>
      </c>
      <c r="C60" s="193" t="s">
        <v>139</v>
      </c>
      <c r="D60" s="202">
        <v>262</v>
      </c>
      <c r="E60" s="195">
        <v>338</v>
      </c>
      <c r="F60" s="196">
        <v>333</v>
      </c>
      <c r="G60" s="197">
        <f t="shared" si="5"/>
        <v>127.099236641221</v>
      </c>
      <c r="H60" s="196">
        <v>308</v>
      </c>
      <c r="I60" s="202">
        <f t="shared" si="11"/>
        <v>25</v>
      </c>
      <c r="J60" s="220">
        <f t="shared" si="12"/>
        <v>8.11688311688312</v>
      </c>
      <c r="K60" s="202">
        <v>296</v>
      </c>
      <c r="L60" s="202">
        <f>K60-D60</f>
        <v>34</v>
      </c>
      <c r="M60" s="221">
        <f>L60/D60*100</f>
        <v>12.9770992366412</v>
      </c>
      <c r="N60" s="202"/>
    </row>
    <row r="61" spans="1:14">
      <c r="A61" s="198" t="s">
        <v>138</v>
      </c>
      <c r="B61" s="199">
        <v>2011102</v>
      </c>
      <c r="C61" s="199" t="s">
        <v>140</v>
      </c>
      <c r="D61" s="200"/>
      <c r="E61" s="195">
        <v>63</v>
      </c>
      <c r="F61" s="201"/>
      <c r="G61" s="197"/>
      <c r="H61" s="201">
        <v>60</v>
      </c>
      <c r="I61" s="200">
        <f t="shared" si="11"/>
        <v>-60</v>
      </c>
      <c r="J61" s="222">
        <f t="shared" si="12"/>
        <v>-100</v>
      </c>
      <c r="K61" s="200"/>
      <c r="L61" s="200"/>
      <c r="M61" s="221"/>
      <c r="N61" s="200"/>
    </row>
    <row r="62" spans="1:14">
      <c r="A62" s="198" t="s">
        <v>138</v>
      </c>
      <c r="B62" s="199">
        <v>2011199</v>
      </c>
      <c r="C62" s="199" t="s">
        <v>173</v>
      </c>
      <c r="D62" s="200"/>
      <c r="E62" s="195"/>
      <c r="F62" s="201">
        <v>49</v>
      </c>
      <c r="G62" s="197"/>
      <c r="H62" s="201">
        <v>33</v>
      </c>
      <c r="I62" s="200">
        <f t="shared" si="11"/>
        <v>16</v>
      </c>
      <c r="J62" s="222">
        <f t="shared" si="12"/>
        <v>48.4848484848485</v>
      </c>
      <c r="K62" s="200">
        <v>12</v>
      </c>
      <c r="L62" s="200">
        <f>K62-D62</f>
        <v>12</v>
      </c>
      <c r="M62" s="221"/>
      <c r="N62" s="200"/>
    </row>
    <row r="63" s="162" customFormat="1" spans="1:14">
      <c r="A63" s="186" t="s">
        <v>136</v>
      </c>
      <c r="B63" s="187">
        <v>20113</v>
      </c>
      <c r="C63" s="188" t="s">
        <v>174</v>
      </c>
      <c r="D63" s="189">
        <f>SUM(D64:D67)</f>
        <v>20</v>
      </c>
      <c r="E63" s="190">
        <f>SUM(E64:E67)</f>
        <v>23</v>
      </c>
      <c r="F63" s="189">
        <f>SUM(F64:F67)</f>
        <v>36</v>
      </c>
      <c r="G63" s="191">
        <f t="shared" si="5"/>
        <v>180</v>
      </c>
      <c r="H63" s="189">
        <f>SUM(H64:H67)</f>
        <v>56</v>
      </c>
      <c r="I63" s="189">
        <f t="shared" si="11"/>
        <v>-20</v>
      </c>
      <c r="J63" s="218">
        <f t="shared" si="12"/>
        <v>-35.7142857142857</v>
      </c>
      <c r="K63" s="189">
        <f>SUM(K64:K67)</f>
        <v>26</v>
      </c>
      <c r="L63" s="189">
        <f>K63-D63</f>
        <v>6</v>
      </c>
      <c r="M63" s="191">
        <f>L63/D63*100</f>
        <v>30</v>
      </c>
      <c r="N63" s="219"/>
    </row>
    <row r="64" s="163" customFormat="1" spans="1:14">
      <c r="A64" s="192" t="s">
        <v>138</v>
      </c>
      <c r="B64" s="193">
        <v>2011301</v>
      </c>
      <c r="C64" s="193" t="s">
        <v>139</v>
      </c>
      <c r="D64" s="202">
        <v>20</v>
      </c>
      <c r="E64" s="195">
        <v>23</v>
      </c>
      <c r="F64" s="196">
        <v>21</v>
      </c>
      <c r="G64" s="197">
        <f t="shared" si="5"/>
        <v>105</v>
      </c>
      <c r="H64" s="196">
        <v>47</v>
      </c>
      <c r="I64" s="202">
        <f t="shared" si="11"/>
        <v>-26</v>
      </c>
      <c r="J64" s="220">
        <f t="shared" si="12"/>
        <v>-55.3191489361702</v>
      </c>
      <c r="K64" s="202">
        <v>26</v>
      </c>
      <c r="L64" s="202">
        <f>K64-D64</f>
        <v>6</v>
      </c>
      <c r="M64" s="221">
        <f>L64/D64*100</f>
        <v>30</v>
      </c>
      <c r="N64" s="202"/>
    </row>
    <row r="65" spans="1:14">
      <c r="A65" s="198" t="s">
        <v>138</v>
      </c>
      <c r="B65" s="199">
        <v>2011308</v>
      </c>
      <c r="C65" s="199" t="s">
        <v>175</v>
      </c>
      <c r="D65" s="200"/>
      <c r="E65" s="195"/>
      <c r="F65" s="201">
        <v>15</v>
      </c>
      <c r="G65" s="197"/>
      <c r="H65" s="201">
        <v>9</v>
      </c>
      <c r="I65" s="200">
        <f t="shared" si="11"/>
        <v>6</v>
      </c>
      <c r="J65" s="222">
        <f t="shared" si="12"/>
        <v>66.6666666666667</v>
      </c>
      <c r="K65" s="200"/>
      <c r="L65" s="200"/>
      <c r="M65" s="221"/>
      <c r="N65" s="200"/>
    </row>
    <row r="66" spans="1:14">
      <c r="A66" s="198" t="s">
        <v>138</v>
      </c>
      <c r="B66" s="199">
        <v>2011350</v>
      </c>
      <c r="C66" s="199" t="s">
        <v>148</v>
      </c>
      <c r="D66" s="200"/>
      <c r="E66" s="195"/>
      <c r="F66" s="201"/>
      <c r="G66" s="197"/>
      <c r="H66" s="201"/>
      <c r="I66" s="200"/>
      <c r="J66" s="222"/>
      <c r="K66" s="200"/>
      <c r="L66" s="200"/>
      <c r="M66" s="221"/>
      <c r="N66" s="200"/>
    </row>
    <row r="67" spans="1:14">
      <c r="A67" s="198" t="s">
        <v>138</v>
      </c>
      <c r="B67" s="199">
        <v>2011399</v>
      </c>
      <c r="C67" s="199" t="s">
        <v>176</v>
      </c>
      <c r="D67" s="200"/>
      <c r="E67" s="195"/>
      <c r="F67" s="201"/>
      <c r="G67" s="197"/>
      <c r="H67" s="201"/>
      <c r="I67" s="200"/>
      <c r="J67" s="222"/>
      <c r="K67" s="200"/>
      <c r="L67" s="200"/>
      <c r="M67" s="221"/>
      <c r="N67" s="200"/>
    </row>
    <row r="68" s="162" customFormat="1" spans="1:14">
      <c r="A68" s="186" t="s">
        <v>136</v>
      </c>
      <c r="B68" s="187">
        <v>20114</v>
      </c>
      <c r="C68" s="188" t="s">
        <v>177</v>
      </c>
      <c r="D68" s="189"/>
      <c r="E68" s="190"/>
      <c r="F68" s="189"/>
      <c r="G68" s="191"/>
      <c r="H68" s="189"/>
      <c r="I68" s="189"/>
      <c r="J68" s="218"/>
      <c r="K68" s="189"/>
      <c r="L68" s="189"/>
      <c r="M68" s="191"/>
      <c r="N68" s="219"/>
    </row>
    <row r="69" spans="1:14">
      <c r="A69" s="198" t="s">
        <v>138</v>
      </c>
      <c r="B69" s="199">
        <v>2011499</v>
      </c>
      <c r="C69" s="199" t="s">
        <v>178</v>
      </c>
      <c r="D69" s="200"/>
      <c r="E69" s="195"/>
      <c r="F69" s="201"/>
      <c r="G69" s="197"/>
      <c r="H69" s="201"/>
      <c r="I69" s="200"/>
      <c r="J69" s="222"/>
      <c r="K69" s="200"/>
      <c r="L69" s="200"/>
      <c r="M69" s="221"/>
      <c r="N69" s="200"/>
    </row>
    <row r="70" s="162" customFormat="1" spans="1:14">
      <c r="A70" s="186" t="s">
        <v>136</v>
      </c>
      <c r="B70" s="187">
        <v>20123</v>
      </c>
      <c r="C70" s="188" t="s">
        <v>179</v>
      </c>
      <c r="D70" s="189">
        <f>SUM(D71:D76)</f>
        <v>9</v>
      </c>
      <c r="E70" s="190">
        <f t="shared" ref="E70:H70" si="13">SUM(E71:E76)</f>
        <v>0</v>
      </c>
      <c r="F70" s="189">
        <f t="shared" si="13"/>
        <v>1</v>
      </c>
      <c r="G70" s="191">
        <f t="shared" si="5"/>
        <v>11.1111111111111</v>
      </c>
      <c r="H70" s="189">
        <f t="shared" si="13"/>
        <v>1</v>
      </c>
      <c r="I70" s="189"/>
      <c r="J70" s="218"/>
      <c r="K70" s="189">
        <f>SUM(K71:K76)</f>
        <v>10</v>
      </c>
      <c r="L70" s="189">
        <f>K70-D70</f>
        <v>1</v>
      </c>
      <c r="M70" s="191">
        <f>L70/D70*100</f>
        <v>11.1111111111111</v>
      </c>
      <c r="N70" s="219"/>
    </row>
    <row r="71" s="163" customFormat="1" spans="1:14">
      <c r="A71" s="192" t="s">
        <v>138</v>
      </c>
      <c r="B71" s="193">
        <v>2012301</v>
      </c>
      <c r="C71" s="193" t="s">
        <v>139</v>
      </c>
      <c r="D71" s="202">
        <v>9</v>
      </c>
      <c r="E71" s="195"/>
      <c r="F71" s="196">
        <v>1</v>
      </c>
      <c r="G71" s="197">
        <f t="shared" si="5"/>
        <v>11.1111111111111</v>
      </c>
      <c r="H71" s="196"/>
      <c r="I71" s="202">
        <f t="shared" si="11"/>
        <v>1</v>
      </c>
      <c r="J71" s="220"/>
      <c r="K71" s="202">
        <v>10</v>
      </c>
      <c r="L71" s="202">
        <f>K71-D71</f>
        <v>1</v>
      </c>
      <c r="M71" s="221">
        <f>L71/D71*100</f>
        <v>11.1111111111111</v>
      </c>
      <c r="N71" s="202"/>
    </row>
    <row r="72" spans="1:14">
      <c r="A72" s="198" t="s">
        <v>138</v>
      </c>
      <c r="B72" s="199">
        <v>2012302</v>
      </c>
      <c r="C72" s="199" t="s">
        <v>140</v>
      </c>
      <c r="D72" s="200"/>
      <c r="E72" s="195"/>
      <c r="F72" s="201"/>
      <c r="G72" s="197"/>
      <c r="H72" s="201"/>
      <c r="I72" s="200"/>
      <c r="J72" s="222"/>
      <c r="K72" s="200"/>
      <c r="L72" s="200"/>
      <c r="M72" s="221"/>
      <c r="N72" s="200"/>
    </row>
    <row r="73" spans="1:14">
      <c r="A73" s="198" t="s">
        <v>138</v>
      </c>
      <c r="B73" s="199">
        <v>2012303</v>
      </c>
      <c r="C73" s="199" t="s">
        <v>141</v>
      </c>
      <c r="D73" s="200"/>
      <c r="E73" s="195"/>
      <c r="F73" s="201"/>
      <c r="G73" s="197"/>
      <c r="H73" s="201"/>
      <c r="I73" s="200"/>
      <c r="J73" s="222"/>
      <c r="K73" s="200"/>
      <c r="L73" s="200"/>
      <c r="M73" s="221"/>
      <c r="N73" s="200"/>
    </row>
    <row r="74" spans="1:14">
      <c r="A74" s="198" t="s">
        <v>138</v>
      </c>
      <c r="B74" s="199">
        <v>2012304</v>
      </c>
      <c r="C74" s="199" t="s">
        <v>180</v>
      </c>
      <c r="D74" s="200"/>
      <c r="E74" s="195"/>
      <c r="F74" s="201"/>
      <c r="G74" s="197"/>
      <c r="H74" s="201">
        <v>1</v>
      </c>
      <c r="I74" s="200">
        <f t="shared" si="11"/>
        <v>-1</v>
      </c>
      <c r="J74" s="222"/>
      <c r="K74" s="200"/>
      <c r="L74" s="200"/>
      <c r="M74" s="221"/>
      <c r="N74" s="200"/>
    </row>
    <row r="75" spans="1:14">
      <c r="A75" s="198" t="s">
        <v>138</v>
      </c>
      <c r="B75" s="199">
        <v>2012350</v>
      </c>
      <c r="C75" s="199" t="s">
        <v>148</v>
      </c>
      <c r="D75" s="200"/>
      <c r="E75" s="195"/>
      <c r="F75" s="201"/>
      <c r="G75" s="197"/>
      <c r="H75" s="201"/>
      <c r="I75" s="200"/>
      <c r="J75" s="222"/>
      <c r="K75" s="200"/>
      <c r="L75" s="200"/>
      <c r="M75" s="221"/>
      <c r="N75" s="200"/>
    </row>
    <row r="76" spans="1:14">
      <c r="A76" s="198" t="s">
        <v>138</v>
      </c>
      <c r="B76" s="199">
        <v>2012399</v>
      </c>
      <c r="C76" s="199" t="s">
        <v>181</v>
      </c>
      <c r="D76" s="200"/>
      <c r="E76" s="195"/>
      <c r="F76" s="201"/>
      <c r="G76" s="197"/>
      <c r="H76" s="201"/>
      <c r="I76" s="200"/>
      <c r="J76" s="222"/>
      <c r="K76" s="200"/>
      <c r="L76" s="200"/>
      <c r="M76" s="221"/>
      <c r="N76" s="200"/>
    </row>
    <row r="77" s="162" customFormat="1" spans="1:14">
      <c r="A77" s="186" t="s">
        <v>136</v>
      </c>
      <c r="B77" s="187">
        <v>20125</v>
      </c>
      <c r="C77" s="188" t="s">
        <v>182</v>
      </c>
      <c r="D77" s="189"/>
      <c r="E77" s="190"/>
      <c r="F77" s="189"/>
      <c r="G77" s="191"/>
      <c r="H77" s="189"/>
      <c r="I77" s="189"/>
      <c r="J77" s="218"/>
      <c r="K77" s="189"/>
      <c r="L77" s="189"/>
      <c r="M77" s="191"/>
      <c r="N77" s="219"/>
    </row>
    <row r="78" spans="1:14">
      <c r="A78" s="198" t="s">
        <v>138</v>
      </c>
      <c r="B78" s="199">
        <v>2012599</v>
      </c>
      <c r="C78" s="199" t="s">
        <v>183</v>
      </c>
      <c r="D78" s="200"/>
      <c r="E78" s="195"/>
      <c r="F78" s="201"/>
      <c r="G78" s="197"/>
      <c r="H78" s="201"/>
      <c r="I78" s="200"/>
      <c r="J78" s="222"/>
      <c r="K78" s="200"/>
      <c r="L78" s="200"/>
      <c r="M78" s="221"/>
      <c r="N78" s="200"/>
    </row>
    <row r="79" s="162" customFormat="1" spans="1:14">
      <c r="A79" s="186" t="s">
        <v>136</v>
      </c>
      <c r="B79" s="187">
        <v>20126</v>
      </c>
      <c r="C79" s="188" t="s">
        <v>184</v>
      </c>
      <c r="D79" s="189">
        <f>SUM(D80:D84)</f>
        <v>27</v>
      </c>
      <c r="E79" s="190">
        <f t="shared" ref="E79:H79" si="14">SUM(E80:E84)</f>
        <v>34</v>
      </c>
      <c r="F79" s="189">
        <f t="shared" si="14"/>
        <v>44</v>
      </c>
      <c r="G79" s="191">
        <f t="shared" ref="G72:G135" si="15">F79/D79*100</f>
        <v>162.962962962963</v>
      </c>
      <c r="H79" s="189">
        <f t="shared" si="14"/>
        <v>39</v>
      </c>
      <c r="I79" s="189">
        <f t="shared" si="11"/>
        <v>5</v>
      </c>
      <c r="J79" s="218">
        <f t="shared" si="12"/>
        <v>12.8205128205128</v>
      </c>
      <c r="K79" s="189">
        <f>SUM(K80:K84)</f>
        <v>18</v>
      </c>
      <c r="L79" s="189">
        <f>K79-D79</f>
        <v>-9</v>
      </c>
      <c r="M79" s="191">
        <f>L79/D79*100</f>
        <v>-33.3333333333333</v>
      </c>
      <c r="N79" s="219"/>
    </row>
    <row r="80" s="163" customFormat="1" spans="1:14">
      <c r="A80" s="192" t="s">
        <v>138</v>
      </c>
      <c r="B80" s="193">
        <v>2012601</v>
      </c>
      <c r="C80" s="193" t="s">
        <v>139</v>
      </c>
      <c r="D80" s="202">
        <v>27</v>
      </c>
      <c r="E80" s="195">
        <v>34</v>
      </c>
      <c r="F80" s="196">
        <v>44</v>
      </c>
      <c r="G80" s="197">
        <f t="shared" si="15"/>
        <v>162.962962962963</v>
      </c>
      <c r="H80" s="196">
        <v>37</v>
      </c>
      <c r="I80" s="202">
        <f t="shared" si="11"/>
        <v>7</v>
      </c>
      <c r="J80" s="220">
        <f t="shared" si="12"/>
        <v>18.9189189189189</v>
      </c>
      <c r="K80" s="202">
        <v>18</v>
      </c>
      <c r="L80" s="202">
        <f>K80-D80</f>
        <v>-9</v>
      </c>
      <c r="M80" s="221">
        <f>L80/D80*100</f>
        <v>-33.3333333333333</v>
      </c>
      <c r="N80" s="202"/>
    </row>
    <row r="81" spans="1:14">
      <c r="A81" s="198" t="s">
        <v>138</v>
      </c>
      <c r="B81" s="199">
        <v>2012602</v>
      </c>
      <c r="C81" s="199" t="s">
        <v>140</v>
      </c>
      <c r="D81" s="200"/>
      <c r="E81" s="195"/>
      <c r="F81" s="201"/>
      <c r="G81" s="197"/>
      <c r="H81" s="201"/>
      <c r="I81" s="200"/>
      <c r="J81" s="222"/>
      <c r="K81" s="200"/>
      <c r="L81" s="200"/>
      <c r="M81" s="221"/>
      <c r="N81" s="200"/>
    </row>
    <row r="82" spans="1:14">
      <c r="A82" s="198" t="s">
        <v>138</v>
      </c>
      <c r="B82" s="199">
        <v>2012603</v>
      </c>
      <c r="C82" s="199" t="s">
        <v>141</v>
      </c>
      <c r="D82" s="200"/>
      <c r="E82" s="195"/>
      <c r="F82" s="201"/>
      <c r="G82" s="197"/>
      <c r="H82" s="201"/>
      <c r="I82" s="200"/>
      <c r="J82" s="222"/>
      <c r="K82" s="200"/>
      <c r="L82" s="200"/>
      <c r="M82" s="221"/>
      <c r="N82" s="200"/>
    </row>
    <row r="83" spans="1:14">
      <c r="A83" s="198" t="s">
        <v>138</v>
      </c>
      <c r="B83" s="199">
        <v>2012604</v>
      </c>
      <c r="C83" s="199" t="s">
        <v>185</v>
      </c>
      <c r="D83" s="200"/>
      <c r="E83" s="195"/>
      <c r="F83" s="201"/>
      <c r="G83" s="197"/>
      <c r="H83" s="201">
        <v>2</v>
      </c>
      <c r="I83" s="200">
        <f t="shared" si="11"/>
        <v>-2</v>
      </c>
      <c r="J83" s="222">
        <f t="shared" si="12"/>
        <v>-100</v>
      </c>
      <c r="K83" s="200"/>
      <c r="L83" s="200"/>
      <c r="M83" s="221"/>
      <c r="N83" s="200"/>
    </row>
    <row r="84" spans="1:14">
      <c r="A84" s="198" t="s">
        <v>138</v>
      </c>
      <c r="B84" s="199">
        <v>2012699</v>
      </c>
      <c r="C84" s="199" t="s">
        <v>186</v>
      </c>
      <c r="D84" s="200"/>
      <c r="E84" s="195"/>
      <c r="F84" s="201"/>
      <c r="G84" s="197"/>
      <c r="H84" s="201"/>
      <c r="I84" s="200"/>
      <c r="J84" s="222"/>
      <c r="K84" s="200"/>
      <c r="L84" s="200"/>
      <c r="M84" s="221"/>
      <c r="N84" s="200"/>
    </row>
    <row r="85" s="162" customFormat="1" spans="1:14">
      <c r="A85" s="186" t="s">
        <v>136</v>
      </c>
      <c r="B85" s="187">
        <v>20128</v>
      </c>
      <c r="C85" s="188" t="s">
        <v>187</v>
      </c>
      <c r="D85" s="189"/>
      <c r="E85" s="190"/>
      <c r="F85" s="189"/>
      <c r="G85" s="191"/>
      <c r="H85" s="189"/>
      <c r="I85" s="189"/>
      <c r="J85" s="218"/>
      <c r="K85" s="189"/>
      <c r="L85" s="189"/>
      <c r="M85" s="191"/>
      <c r="N85" s="219"/>
    </row>
    <row r="86" spans="1:14">
      <c r="A86" s="198" t="s">
        <v>138</v>
      </c>
      <c r="B86" s="199">
        <v>2012899</v>
      </c>
      <c r="C86" s="199" t="s">
        <v>188</v>
      </c>
      <c r="D86" s="200"/>
      <c r="E86" s="195"/>
      <c r="F86" s="201"/>
      <c r="G86" s="197"/>
      <c r="H86" s="201"/>
      <c r="I86" s="200"/>
      <c r="J86" s="222"/>
      <c r="K86" s="200"/>
      <c r="L86" s="200"/>
      <c r="M86" s="221"/>
      <c r="N86" s="200"/>
    </row>
    <row r="87" s="162" customFormat="1" spans="1:14">
      <c r="A87" s="186" t="s">
        <v>136</v>
      </c>
      <c r="B87" s="187">
        <v>20129</v>
      </c>
      <c r="C87" s="188" t="s">
        <v>189</v>
      </c>
      <c r="D87" s="189">
        <f>SUM(D88:D93)</f>
        <v>265</v>
      </c>
      <c r="E87" s="190">
        <f t="shared" ref="E87:H87" si="16">SUM(E88:E93)</f>
        <v>293</v>
      </c>
      <c r="F87" s="189">
        <f t="shared" si="16"/>
        <v>279</v>
      </c>
      <c r="G87" s="191">
        <f t="shared" si="15"/>
        <v>105.283018867925</v>
      </c>
      <c r="H87" s="189">
        <f t="shared" si="16"/>
        <v>289</v>
      </c>
      <c r="I87" s="189">
        <f>F87-H87</f>
        <v>-10</v>
      </c>
      <c r="J87" s="218">
        <f>I87/H87*100</f>
        <v>-3.46020761245675</v>
      </c>
      <c r="K87" s="189">
        <f>SUM(K88:K93)</f>
        <v>296</v>
      </c>
      <c r="L87" s="189">
        <f>K87-D87</f>
        <v>31</v>
      </c>
      <c r="M87" s="191">
        <f>L87/D87*100</f>
        <v>11.6981132075472</v>
      </c>
      <c r="N87" s="219"/>
    </row>
    <row r="88" s="163" customFormat="1" spans="1:14">
      <c r="A88" s="192" t="s">
        <v>138</v>
      </c>
      <c r="B88" s="193">
        <v>2012901</v>
      </c>
      <c r="C88" s="193" t="s">
        <v>139</v>
      </c>
      <c r="D88" s="202">
        <v>51</v>
      </c>
      <c r="E88" s="195">
        <v>281</v>
      </c>
      <c r="F88" s="196">
        <v>56</v>
      </c>
      <c r="G88" s="197">
        <f t="shared" si="15"/>
        <v>109.803921568627</v>
      </c>
      <c r="H88" s="196">
        <v>266</v>
      </c>
      <c r="I88" s="202">
        <f>F88-H88</f>
        <v>-210</v>
      </c>
      <c r="J88" s="220">
        <f>I88/H88*100</f>
        <v>-78.9473684210526</v>
      </c>
      <c r="K88" s="202">
        <v>53</v>
      </c>
      <c r="L88" s="202">
        <f>K88-D88</f>
        <v>2</v>
      </c>
      <c r="M88" s="221">
        <f>L88/D88*100</f>
        <v>3.92156862745098</v>
      </c>
      <c r="N88" s="202"/>
    </row>
    <row r="89" spans="1:14">
      <c r="A89" s="198" t="s">
        <v>138</v>
      </c>
      <c r="B89" s="199">
        <v>2012902</v>
      </c>
      <c r="C89" s="199" t="s">
        <v>140</v>
      </c>
      <c r="D89" s="200"/>
      <c r="E89" s="195"/>
      <c r="F89" s="201"/>
      <c r="G89" s="197"/>
      <c r="H89" s="201"/>
      <c r="I89" s="200"/>
      <c r="J89" s="222"/>
      <c r="K89" s="200"/>
      <c r="L89" s="200"/>
      <c r="M89" s="221"/>
      <c r="N89" s="200"/>
    </row>
    <row r="90" spans="1:14">
      <c r="A90" s="198" t="s">
        <v>138</v>
      </c>
      <c r="B90" s="199">
        <v>2012903</v>
      </c>
      <c r="C90" s="199" t="s">
        <v>141</v>
      </c>
      <c r="D90" s="200"/>
      <c r="E90" s="195"/>
      <c r="F90" s="201"/>
      <c r="G90" s="197"/>
      <c r="H90" s="201"/>
      <c r="I90" s="200"/>
      <c r="J90" s="222"/>
      <c r="K90" s="200"/>
      <c r="L90" s="200"/>
      <c r="M90" s="221"/>
      <c r="N90" s="200"/>
    </row>
    <row r="91" s="163" customFormat="1" spans="1:14">
      <c r="A91" s="192" t="s">
        <v>138</v>
      </c>
      <c r="B91" s="193">
        <v>2012906</v>
      </c>
      <c r="C91" s="193" t="s">
        <v>190</v>
      </c>
      <c r="D91" s="202">
        <v>214</v>
      </c>
      <c r="E91" s="195">
        <v>1</v>
      </c>
      <c r="F91" s="196">
        <v>215</v>
      </c>
      <c r="G91" s="197">
        <f t="shared" si="15"/>
        <v>100.467289719626</v>
      </c>
      <c r="H91" s="196">
        <v>1</v>
      </c>
      <c r="I91" s="202">
        <f>F91-H91</f>
        <v>214</v>
      </c>
      <c r="J91" s="220">
        <f>I91/H91*100</f>
        <v>21400</v>
      </c>
      <c r="K91" s="202">
        <v>237</v>
      </c>
      <c r="L91" s="202">
        <f>K91-D91</f>
        <v>23</v>
      </c>
      <c r="M91" s="221">
        <f>L91/D91*100</f>
        <v>10.7476635514019</v>
      </c>
      <c r="N91" s="202"/>
    </row>
    <row r="92" spans="1:14">
      <c r="A92" s="198" t="s">
        <v>138</v>
      </c>
      <c r="B92" s="199">
        <v>2012950</v>
      </c>
      <c r="C92" s="199" t="s">
        <v>148</v>
      </c>
      <c r="D92" s="200"/>
      <c r="E92" s="195"/>
      <c r="F92" s="201"/>
      <c r="G92" s="197"/>
      <c r="H92" s="201"/>
      <c r="I92" s="200"/>
      <c r="J92" s="222"/>
      <c r="K92" s="200"/>
      <c r="L92" s="200"/>
      <c r="M92" s="221"/>
      <c r="N92" s="200"/>
    </row>
    <row r="93" spans="1:14">
      <c r="A93" s="198" t="s">
        <v>138</v>
      </c>
      <c r="B93" s="199">
        <v>2012999</v>
      </c>
      <c r="C93" s="199" t="s">
        <v>191</v>
      </c>
      <c r="D93" s="200"/>
      <c r="E93" s="195">
        <v>11</v>
      </c>
      <c r="F93" s="201">
        <v>8</v>
      </c>
      <c r="G93" s="197"/>
      <c r="H93" s="201">
        <v>22</v>
      </c>
      <c r="I93" s="200">
        <f>F93-H93</f>
        <v>-14</v>
      </c>
      <c r="J93" s="222">
        <f>I93/H93*100</f>
        <v>-63.6363636363636</v>
      </c>
      <c r="K93" s="200">
        <v>6</v>
      </c>
      <c r="L93" s="200">
        <f>K93-D93</f>
        <v>6</v>
      </c>
      <c r="M93" s="221"/>
      <c r="N93" s="200"/>
    </row>
    <row r="94" s="162" customFormat="1" spans="1:14">
      <c r="A94" s="186" t="s">
        <v>136</v>
      </c>
      <c r="B94" s="187">
        <v>20131</v>
      </c>
      <c r="C94" s="188" t="s">
        <v>192</v>
      </c>
      <c r="D94" s="189">
        <f>SUM(D95:D100)</f>
        <v>124</v>
      </c>
      <c r="E94" s="190">
        <f t="shared" ref="E94:H94" si="17">SUM(E95:E100)</f>
        <v>121</v>
      </c>
      <c r="F94" s="189">
        <f t="shared" si="17"/>
        <v>164</v>
      </c>
      <c r="G94" s="191">
        <f t="shared" si="15"/>
        <v>132.258064516129</v>
      </c>
      <c r="H94" s="189">
        <f t="shared" si="17"/>
        <v>150</v>
      </c>
      <c r="I94" s="189">
        <f>F94-H94</f>
        <v>14</v>
      </c>
      <c r="J94" s="218">
        <f>I94/H94*100</f>
        <v>9.33333333333333</v>
      </c>
      <c r="K94" s="189">
        <f>SUM(K95:K100)</f>
        <v>245</v>
      </c>
      <c r="L94" s="189">
        <f>K94-D94</f>
        <v>121</v>
      </c>
      <c r="M94" s="191">
        <f>L94/D94*100</f>
        <v>97.5806451612903</v>
      </c>
      <c r="N94" s="219"/>
    </row>
    <row r="95" s="163" customFormat="1" spans="1:14">
      <c r="A95" s="192" t="s">
        <v>138</v>
      </c>
      <c r="B95" s="193">
        <v>2013101</v>
      </c>
      <c r="C95" s="193" t="s">
        <v>139</v>
      </c>
      <c r="D95" s="202">
        <v>124</v>
      </c>
      <c r="E95" s="195">
        <v>121</v>
      </c>
      <c r="F95" s="196">
        <v>145</v>
      </c>
      <c r="G95" s="197">
        <f t="shared" si="15"/>
        <v>116.935483870968</v>
      </c>
      <c r="H95" s="196">
        <v>126</v>
      </c>
      <c r="I95" s="202">
        <f>F95-H95</f>
        <v>19</v>
      </c>
      <c r="J95" s="220">
        <f>I95/H95*100</f>
        <v>15.0793650793651</v>
      </c>
      <c r="K95" s="202">
        <v>155</v>
      </c>
      <c r="L95" s="202">
        <f>K95-D95</f>
        <v>31</v>
      </c>
      <c r="M95" s="221">
        <f>L95/D95*100</f>
        <v>25</v>
      </c>
      <c r="N95" s="202"/>
    </row>
    <row r="96" spans="1:14">
      <c r="A96" s="198" t="s">
        <v>138</v>
      </c>
      <c r="B96" s="199">
        <v>2013102</v>
      </c>
      <c r="C96" s="199" t="s">
        <v>140</v>
      </c>
      <c r="D96" s="200"/>
      <c r="E96" s="195"/>
      <c r="F96" s="201">
        <v>5</v>
      </c>
      <c r="G96" s="197"/>
      <c r="H96" s="201">
        <v>4</v>
      </c>
      <c r="I96" s="200">
        <f>F96-H96</f>
        <v>1</v>
      </c>
      <c r="J96" s="222">
        <f>I96/H96*100</f>
        <v>25</v>
      </c>
      <c r="K96" s="200"/>
      <c r="L96" s="200"/>
      <c r="M96" s="221"/>
      <c r="N96" s="200"/>
    </row>
    <row r="97" spans="1:14">
      <c r="A97" s="198" t="s">
        <v>138</v>
      </c>
      <c r="B97" s="199">
        <v>2013103</v>
      </c>
      <c r="C97" s="199" t="s">
        <v>141</v>
      </c>
      <c r="D97" s="200"/>
      <c r="E97" s="195"/>
      <c r="F97" s="201"/>
      <c r="G97" s="197"/>
      <c r="H97" s="201"/>
      <c r="I97" s="200"/>
      <c r="J97" s="222"/>
      <c r="K97" s="200"/>
      <c r="L97" s="200"/>
      <c r="M97" s="221"/>
      <c r="N97" s="200"/>
    </row>
    <row r="98" spans="1:14">
      <c r="A98" s="198" t="s">
        <v>138</v>
      </c>
      <c r="B98" s="199">
        <v>2013105</v>
      </c>
      <c r="C98" s="199" t="s">
        <v>193</v>
      </c>
      <c r="D98" s="200"/>
      <c r="E98" s="195"/>
      <c r="F98" s="201"/>
      <c r="G98" s="197"/>
      <c r="H98" s="201">
        <v>13</v>
      </c>
      <c r="I98" s="200">
        <f>F98-H98</f>
        <v>-13</v>
      </c>
      <c r="J98" s="222">
        <f>I98/H98*100</f>
        <v>-100</v>
      </c>
      <c r="K98" s="200"/>
      <c r="L98" s="200"/>
      <c r="M98" s="221"/>
      <c r="N98" s="200"/>
    </row>
    <row r="99" spans="1:14">
      <c r="A99" s="198" t="s">
        <v>138</v>
      </c>
      <c r="B99" s="199">
        <v>2013150</v>
      </c>
      <c r="C99" s="199" t="s">
        <v>148</v>
      </c>
      <c r="D99" s="200"/>
      <c r="E99" s="195"/>
      <c r="F99" s="201"/>
      <c r="G99" s="197"/>
      <c r="H99" s="201"/>
      <c r="I99" s="200"/>
      <c r="J99" s="222"/>
      <c r="K99" s="200"/>
      <c r="L99" s="200"/>
      <c r="M99" s="221"/>
      <c r="N99" s="200"/>
    </row>
    <row r="100" spans="1:14">
      <c r="A100" s="198" t="s">
        <v>138</v>
      </c>
      <c r="B100" s="199">
        <v>2013199</v>
      </c>
      <c r="C100" s="199" t="s">
        <v>194</v>
      </c>
      <c r="D100" s="200"/>
      <c r="E100" s="195"/>
      <c r="F100" s="201">
        <v>14</v>
      </c>
      <c r="G100" s="197"/>
      <c r="H100" s="201">
        <v>7</v>
      </c>
      <c r="I100" s="200">
        <f>F100-H100</f>
        <v>7</v>
      </c>
      <c r="J100" s="222">
        <f>I100/H100*100</f>
        <v>100</v>
      </c>
      <c r="K100" s="200">
        <v>90</v>
      </c>
      <c r="L100" s="200">
        <f>K100-D100</f>
        <v>90</v>
      </c>
      <c r="M100" s="221"/>
      <c r="N100" s="200"/>
    </row>
    <row r="101" s="162" customFormat="1" spans="1:14">
      <c r="A101" s="186" t="s">
        <v>136</v>
      </c>
      <c r="B101" s="187">
        <v>20132</v>
      </c>
      <c r="C101" s="188" t="s">
        <v>195</v>
      </c>
      <c r="D101" s="189">
        <f>SUM(D102:D107)</f>
        <v>241</v>
      </c>
      <c r="E101" s="190">
        <f t="shared" ref="E101:H101" si="18">SUM(E102:E107)</f>
        <v>491</v>
      </c>
      <c r="F101" s="189">
        <f t="shared" si="18"/>
        <v>318</v>
      </c>
      <c r="G101" s="191">
        <f t="shared" si="15"/>
        <v>131.95020746888</v>
      </c>
      <c r="H101" s="189">
        <f t="shared" si="18"/>
        <v>482</v>
      </c>
      <c r="I101" s="189">
        <f>F101-H101</f>
        <v>-164</v>
      </c>
      <c r="J101" s="218">
        <f>I101/H101*100</f>
        <v>-34.0248962655602</v>
      </c>
      <c r="K101" s="189">
        <f>SUM(K102:K107)</f>
        <v>364</v>
      </c>
      <c r="L101" s="189">
        <f>K101-D101</f>
        <v>123</v>
      </c>
      <c r="M101" s="191">
        <f>L101/D101*100</f>
        <v>51.0373443983402</v>
      </c>
      <c r="N101" s="219"/>
    </row>
    <row r="102" s="163" customFormat="1" spans="1:14">
      <c r="A102" s="192" t="s">
        <v>138</v>
      </c>
      <c r="B102" s="193">
        <v>2013201</v>
      </c>
      <c r="C102" s="193" t="s">
        <v>139</v>
      </c>
      <c r="D102" s="202">
        <v>198</v>
      </c>
      <c r="E102" s="195">
        <v>171</v>
      </c>
      <c r="F102" s="196">
        <v>165</v>
      </c>
      <c r="G102" s="197">
        <f t="shared" si="15"/>
        <v>83.3333333333333</v>
      </c>
      <c r="H102" s="196">
        <v>156</v>
      </c>
      <c r="I102" s="202">
        <f>F102-H102</f>
        <v>9</v>
      </c>
      <c r="J102" s="220">
        <f>I102/H102*100</f>
        <v>5.76923076923077</v>
      </c>
      <c r="K102" s="202">
        <v>178</v>
      </c>
      <c r="L102" s="202">
        <f>K102-D102</f>
        <v>-20</v>
      </c>
      <c r="M102" s="221">
        <f>L102/D102*100</f>
        <v>-10.1010101010101</v>
      </c>
      <c r="N102" s="202"/>
    </row>
    <row r="103" spans="1:14">
      <c r="A103" s="198" t="s">
        <v>138</v>
      </c>
      <c r="B103" s="199">
        <v>2013202</v>
      </c>
      <c r="C103" s="199" t="s">
        <v>140</v>
      </c>
      <c r="D103" s="200"/>
      <c r="E103" s="195"/>
      <c r="F103" s="201">
        <v>3</v>
      </c>
      <c r="G103" s="197"/>
      <c r="H103" s="201">
        <v>13</v>
      </c>
      <c r="I103" s="200">
        <f>F103-H103</f>
        <v>-10</v>
      </c>
      <c r="J103" s="222">
        <f>I103/H103*100</f>
        <v>-76.9230769230769</v>
      </c>
      <c r="K103" s="200"/>
      <c r="L103" s="200"/>
      <c r="M103" s="221"/>
      <c r="N103" s="200"/>
    </row>
    <row r="104" spans="1:14">
      <c r="A104" s="198" t="s">
        <v>138</v>
      </c>
      <c r="B104" s="199">
        <v>2013203</v>
      </c>
      <c r="C104" s="199" t="s">
        <v>141</v>
      </c>
      <c r="D104" s="200"/>
      <c r="E104" s="195"/>
      <c r="F104" s="201"/>
      <c r="G104" s="197"/>
      <c r="H104" s="201"/>
      <c r="I104" s="200"/>
      <c r="J104" s="222"/>
      <c r="K104" s="200"/>
      <c r="L104" s="200"/>
      <c r="M104" s="221"/>
      <c r="N104" s="200"/>
    </row>
    <row r="105" spans="1:14">
      <c r="A105" s="198" t="s">
        <v>138</v>
      </c>
      <c r="B105" s="199">
        <v>2013204</v>
      </c>
      <c r="C105" s="199" t="s">
        <v>196</v>
      </c>
      <c r="D105" s="200"/>
      <c r="E105" s="195"/>
      <c r="F105" s="201"/>
      <c r="G105" s="197"/>
      <c r="H105" s="201"/>
      <c r="I105" s="200"/>
      <c r="J105" s="222"/>
      <c r="K105" s="200"/>
      <c r="L105" s="200"/>
      <c r="M105" s="221"/>
      <c r="N105" s="200"/>
    </row>
    <row r="106" s="163" customFormat="1" spans="1:14">
      <c r="A106" s="192" t="s">
        <v>138</v>
      </c>
      <c r="B106" s="193">
        <v>2013250</v>
      </c>
      <c r="C106" s="193" t="s">
        <v>148</v>
      </c>
      <c r="D106" s="202">
        <v>38</v>
      </c>
      <c r="E106" s="195">
        <v>46</v>
      </c>
      <c r="F106" s="196">
        <v>42</v>
      </c>
      <c r="G106" s="197">
        <f t="shared" si="15"/>
        <v>110.526315789474</v>
      </c>
      <c r="H106" s="196">
        <v>61</v>
      </c>
      <c r="I106" s="202">
        <f>F106-H106</f>
        <v>-19</v>
      </c>
      <c r="J106" s="220">
        <f>I106/H106*100</f>
        <v>-31.1475409836066</v>
      </c>
      <c r="K106" s="202">
        <v>46</v>
      </c>
      <c r="L106" s="202">
        <f>K106-D106</f>
        <v>8</v>
      </c>
      <c r="M106" s="221">
        <f>L106/D106*100</f>
        <v>21.0526315789474</v>
      </c>
      <c r="N106" s="202"/>
    </row>
    <row r="107" s="163" customFormat="1" spans="1:14">
      <c r="A107" s="192" t="s">
        <v>138</v>
      </c>
      <c r="B107" s="193">
        <v>2013299</v>
      </c>
      <c r="C107" s="193" t="s">
        <v>197</v>
      </c>
      <c r="D107" s="202">
        <v>5</v>
      </c>
      <c r="E107" s="195">
        <v>274</v>
      </c>
      <c r="F107" s="196">
        <v>108</v>
      </c>
      <c r="G107" s="197">
        <f t="shared" si="15"/>
        <v>2160</v>
      </c>
      <c r="H107" s="196">
        <v>252</v>
      </c>
      <c r="I107" s="202">
        <f>F107-H107</f>
        <v>-144</v>
      </c>
      <c r="J107" s="220">
        <f>I107/H107*100</f>
        <v>-57.1428571428571</v>
      </c>
      <c r="K107" s="202">
        <f>72+68</f>
        <v>140</v>
      </c>
      <c r="L107" s="202">
        <f>K107-D107</f>
        <v>135</v>
      </c>
      <c r="M107" s="221">
        <f>L107/D107*100</f>
        <v>2700</v>
      </c>
      <c r="N107" s="202"/>
    </row>
    <row r="108" s="162" customFormat="1" spans="1:14">
      <c r="A108" s="186" t="s">
        <v>136</v>
      </c>
      <c r="B108" s="187">
        <v>20133</v>
      </c>
      <c r="C108" s="188" t="s">
        <v>198</v>
      </c>
      <c r="D108" s="189">
        <f>SUM(D109:D114)</f>
        <v>82</v>
      </c>
      <c r="E108" s="190">
        <f t="shared" ref="E108:H108" si="19">SUM(E109:E114)</f>
        <v>98</v>
      </c>
      <c r="F108" s="189">
        <f t="shared" si="19"/>
        <v>96</v>
      </c>
      <c r="G108" s="191">
        <f t="shared" si="15"/>
        <v>117.073170731707</v>
      </c>
      <c r="H108" s="189">
        <f t="shared" si="19"/>
        <v>116</v>
      </c>
      <c r="I108" s="189">
        <f>F108-H108</f>
        <v>-20</v>
      </c>
      <c r="J108" s="218">
        <f>I108/H108*100</f>
        <v>-17.2413793103448</v>
      </c>
      <c r="K108" s="189">
        <f>SUM(K109:K114)</f>
        <v>91</v>
      </c>
      <c r="L108" s="189">
        <f>K108-D108</f>
        <v>9</v>
      </c>
      <c r="M108" s="191">
        <f>L108/D108*100</f>
        <v>10.9756097560976</v>
      </c>
      <c r="N108" s="219"/>
    </row>
    <row r="109" s="163" customFormat="1" spans="1:14">
      <c r="A109" s="192" t="s">
        <v>138</v>
      </c>
      <c r="B109" s="193">
        <v>2013301</v>
      </c>
      <c r="C109" s="193" t="s">
        <v>139</v>
      </c>
      <c r="D109" s="202">
        <v>58</v>
      </c>
      <c r="E109" s="195">
        <v>73</v>
      </c>
      <c r="F109" s="196">
        <v>56</v>
      </c>
      <c r="G109" s="197">
        <f t="shared" si="15"/>
        <v>96.551724137931</v>
      </c>
      <c r="H109" s="196">
        <v>56</v>
      </c>
      <c r="I109" s="202"/>
      <c r="J109" s="220"/>
      <c r="K109" s="202">
        <v>64</v>
      </c>
      <c r="L109" s="202">
        <f>K109-D109</f>
        <v>6</v>
      </c>
      <c r="M109" s="221">
        <f>L109/D109*100</f>
        <v>10.3448275862069</v>
      </c>
      <c r="N109" s="202"/>
    </row>
    <row r="110" spans="1:14">
      <c r="A110" s="198" t="s">
        <v>138</v>
      </c>
      <c r="B110" s="199">
        <v>2013302</v>
      </c>
      <c r="C110" s="199" t="s">
        <v>140</v>
      </c>
      <c r="D110" s="200"/>
      <c r="E110" s="195"/>
      <c r="F110" s="201"/>
      <c r="G110" s="197"/>
      <c r="H110" s="201"/>
      <c r="I110" s="200"/>
      <c r="J110" s="222"/>
      <c r="K110" s="200"/>
      <c r="L110" s="200"/>
      <c r="M110" s="221"/>
      <c r="N110" s="200"/>
    </row>
    <row r="111" spans="1:14">
      <c r="A111" s="198" t="s">
        <v>138</v>
      </c>
      <c r="B111" s="199">
        <v>2013303</v>
      </c>
      <c r="C111" s="199" t="s">
        <v>141</v>
      </c>
      <c r="D111" s="200"/>
      <c r="E111" s="195"/>
      <c r="F111" s="201"/>
      <c r="G111" s="197"/>
      <c r="H111" s="201"/>
      <c r="I111" s="200"/>
      <c r="J111" s="222"/>
      <c r="K111" s="200"/>
      <c r="L111" s="200"/>
      <c r="M111" s="221"/>
      <c r="N111" s="200"/>
    </row>
    <row r="112" spans="1:14">
      <c r="A112" s="198" t="s">
        <v>138</v>
      </c>
      <c r="B112" s="199">
        <v>2013304</v>
      </c>
      <c r="C112" s="199" t="s">
        <v>199</v>
      </c>
      <c r="D112" s="200"/>
      <c r="E112" s="195"/>
      <c r="F112" s="201"/>
      <c r="G112" s="197"/>
      <c r="H112" s="201"/>
      <c r="I112" s="200"/>
      <c r="J112" s="222"/>
      <c r="K112" s="200"/>
      <c r="L112" s="200"/>
      <c r="M112" s="221"/>
      <c r="N112" s="200"/>
    </row>
    <row r="113" s="163" customFormat="1" spans="1:14">
      <c r="A113" s="192" t="s">
        <v>138</v>
      </c>
      <c r="B113" s="193">
        <v>2013350</v>
      </c>
      <c r="C113" s="193" t="s">
        <v>148</v>
      </c>
      <c r="D113" s="202">
        <v>24</v>
      </c>
      <c r="E113" s="195">
        <v>25</v>
      </c>
      <c r="F113" s="196">
        <v>28</v>
      </c>
      <c r="G113" s="197">
        <f t="shared" si="15"/>
        <v>116.666666666667</v>
      </c>
      <c r="H113" s="196">
        <v>32</v>
      </c>
      <c r="I113" s="202">
        <f>F113-H113</f>
        <v>-4</v>
      </c>
      <c r="J113" s="220">
        <f>I113/H113*100</f>
        <v>-12.5</v>
      </c>
      <c r="K113" s="202">
        <v>27</v>
      </c>
      <c r="L113" s="202">
        <f>K113-D113</f>
        <v>3</v>
      </c>
      <c r="M113" s="221">
        <f>L113/D113*100</f>
        <v>12.5</v>
      </c>
      <c r="N113" s="202"/>
    </row>
    <row r="114" spans="1:14">
      <c r="A114" s="198" t="s">
        <v>138</v>
      </c>
      <c r="B114" s="199">
        <v>2013399</v>
      </c>
      <c r="C114" s="199" t="s">
        <v>200</v>
      </c>
      <c r="D114" s="200"/>
      <c r="E114" s="195"/>
      <c r="F114" s="201">
        <v>12</v>
      </c>
      <c r="G114" s="197"/>
      <c r="H114" s="201">
        <v>28</v>
      </c>
      <c r="I114" s="200">
        <f>F114-H114</f>
        <v>-16</v>
      </c>
      <c r="J114" s="222">
        <f>I114/H114*100</f>
        <v>-57.1428571428571</v>
      </c>
      <c r="K114" s="200"/>
      <c r="L114" s="200"/>
      <c r="M114" s="221"/>
      <c r="N114" s="200"/>
    </row>
    <row r="115" s="162" customFormat="1" spans="1:14">
      <c r="A115" s="186" t="s">
        <v>136</v>
      </c>
      <c r="B115" s="187">
        <v>20134</v>
      </c>
      <c r="C115" s="188" t="s">
        <v>201</v>
      </c>
      <c r="D115" s="189">
        <f>SUM(D116:D117)</f>
        <v>42</v>
      </c>
      <c r="E115" s="190">
        <f>SUM(E116:E117)</f>
        <v>53</v>
      </c>
      <c r="F115" s="189">
        <f>SUM(F116:F117)</f>
        <v>56</v>
      </c>
      <c r="G115" s="191">
        <f t="shared" si="15"/>
        <v>133.333333333333</v>
      </c>
      <c r="H115" s="189">
        <f>SUM(H116:H117)</f>
        <v>58</v>
      </c>
      <c r="I115" s="189">
        <f>F115-H115</f>
        <v>-2</v>
      </c>
      <c r="J115" s="218">
        <f>I115/H115*100</f>
        <v>-3.44827586206897</v>
      </c>
      <c r="K115" s="189">
        <f>SUM(K116:K117)</f>
        <v>54</v>
      </c>
      <c r="L115" s="189">
        <f>K115-D115</f>
        <v>12</v>
      </c>
      <c r="M115" s="191">
        <f>L115/D115*100</f>
        <v>28.5714285714286</v>
      </c>
      <c r="N115" s="219"/>
    </row>
    <row r="116" s="163" customFormat="1" spans="1:14">
      <c r="A116" s="192" t="s">
        <v>138</v>
      </c>
      <c r="B116" s="193">
        <v>2013401</v>
      </c>
      <c r="C116" s="193" t="s">
        <v>139</v>
      </c>
      <c r="D116" s="202">
        <v>42</v>
      </c>
      <c r="E116" s="195">
        <v>53</v>
      </c>
      <c r="F116" s="196">
        <v>55</v>
      </c>
      <c r="G116" s="197">
        <f t="shared" si="15"/>
        <v>130.952380952381</v>
      </c>
      <c r="H116" s="196">
        <v>51</v>
      </c>
      <c r="I116" s="202">
        <f>F116-H116</f>
        <v>4</v>
      </c>
      <c r="J116" s="220">
        <f>I116/H116*100</f>
        <v>7.84313725490196</v>
      </c>
      <c r="K116" s="202">
        <v>53</v>
      </c>
      <c r="L116" s="202">
        <f>K116-D116</f>
        <v>11</v>
      </c>
      <c r="M116" s="221">
        <f>L116/D116*100</f>
        <v>26.1904761904762</v>
      </c>
      <c r="N116" s="202"/>
    </row>
    <row r="117" spans="1:14">
      <c r="A117" s="198" t="s">
        <v>138</v>
      </c>
      <c r="B117" s="199">
        <v>2013499</v>
      </c>
      <c r="C117" s="199" t="s">
        <v>202</v>
      </c>
      <c r="D117" s="200"/>
      <c r="E117" s="195"/>
      <c r="F117" s="201">
        <v>1</v>
      </c>
      <c r="G117" s="197"/>
      <c r="H117" s="201">
        <v>7</v>
      </c>
      <c r="I117" s="200">
        <f>F117-H117</f>
        <v>-6</v>
      </c>
      <c r="J117" s="222">
        <f>I117/H117*100</f>
        <v>-85.7142857142857</v>
      </c>
      <c r="K117" s="200">
        <v>1</v>
      </c>
      <c r="L117" s="200">
        <f>K117-D117</f>
        <v>1</v>
      </c>
      <c r="M117" s="221"/>
      <c r="N117" s="200"/>
    </row>
    <row r="118" s="162" customFormat="1" spans="1:14">
      <c r="A118" s="186" t="s">
        <v>136</v>
      </c>
      <c r="B118" s="187">
        <v>20135</v>
      </c>
      <c r="C118" s="188" t="s">
        <v>203</v>
      </c>
      <c r="D118" s="189"/>
      <c r="E118" s="190"/>
      <c r="F118" s="189"/>
      <c r="G118" s="191"/>
      <c r="H118" s="189"/>
      <c r="I118" s="189"/>
      <c r="J118" s="218"/>
      <c r="K118" s="189"/>
      <c r="L118" s="189"/>
      <c r="M118" s="191"/>
      <c r="N118" s="219"/>
    </row>
    <row r="119" spans="1:14">
      <c r="A119" s="198" t="s">
        <v>138</v>
      </c>
      <c r="B119" s="199">
        <v>2013501</v>
      </c>
      <c r="C119" s="199" t="s">
        <v>139</v>
      </c>
      <c r="D119" s="200"/>
      <c r="E119" s="195"/>
      <c r="F119" s="201"/>
      <c r="G119" s="197"/>
      <c r="H119" s="201"/>
      <c r="I119" s="200"/>
      <c r="J119" s="222"/>
      <c r="K119" s="200"/>
      <c r="L119" s="200"/>
      <c r="M119" s="221"/>
      <c r="N119" s="200"/>
    </row>
    <row r="120" spans="1:14">
      <c r="A120" s="198" t="s">
        <v>138</v>
      </c>
      <c r="B120" s="199">
        <v>2013502</v>
      </c>
      <c r="C120" s="199" t="s">
        <v>140</v>
      </c>
      <c r="D120" s="200"/>
      <c r="E120" s="195"/>
      <c r="F120" s="201"/>
      <c r="G120" s="197"/>
      <c r="H120" s="201"/>
      <c r="I120" s="200"/>
      <c r="J120" s="222"/>
      <c r="K120" s="200"/>
      <c r="L120" s="200"/>
      <c r="M120" s="221"/>
      <c r="N120" s="200"/>
    </row>
    <row r="121" spans="1:14">
      <c r="A121" s="198" t="s">
        <v>138</v>
      </c>
      <c r="B121" s="199">
        <v>2013503</v>
      </c>
      <c r="C121" s="199" t="s">
        <v>141</v>
      </c>
      <c r="D121" s="200"/>
      <c r="E121" s="195"/>
      <c r="F121" s="201"/>
      <c r="G121" s="197"/>
      <c r="H121" s="201"/>
      <c r="I121" s="200"/>
      <c r="J121" s="222"/>
      <c r="K121" s="200"/>
      <c r="L121" s="200"/>
      <c r="M121" s="221"/>
      <c r="N121" s="200"/>
    </row>
    <row r="122" spans="1:14">
      <c r="A122" s="198" t="s">
        <v>138</v>
      </c>
      <c r="B122" s="199">
        <v>2013550</v>
      </c>
      <c r="C122" s="199" t="s">
        <v>148</v>
      </c>
      <c r="D122" s="200"/>
      <c r="E122" s="195"/>
      <c r="F122" s="201"/>
      <c r="G122" s="197"/>
      <c r="H122" s="201"/>
      <c r="I122" s="200"/>
      <c r="J122" s="222"/>
      <c r="K122" s="200"/>
      <c r="L122" s="200"/>
      <c r="M122" s="221"/>
      <c r="N122" s="200"/>
    </row>
    <row r="123" spans="1:14">
      <c r="A123" s="198" t="s">
        <v>138</v>
      </c>
      <c r="B123" s="199">
        <v>2013599</v>
      </c>
      <c r="C123" s="199" t="s">
        <v>204</v>
      </c>
      <c r="D123" s="200"/>
      <c r="E123" s="195"/>
      <c r="F123" s="201"/>
      <c r="G123" s="197"/>
      <c r="H123" s="201"/>
      <c r="I123" s="200"/>
      <c r="J123" s="222"/>
      <c r="K123" s="200"/>
      <c r="L123" s="200"/>
      <c r="M123" s="221"/>
      <c r="N123" s="200"/>
    </row>
    <row r="124" s="162" customFormat="1" spans="1:14">
      <c r="A124" s="186" t="s">
        <v>136</v>
      </c>
      <c r="B124" s="187">
        <v>20136</v>
      </c>
      <c r="C124" s="188" t="s">
        <v>205</v>
      </c>
      <c r="D124" s="189">
        <f>SUM(D125:D129)</f>
        <v>82</v>
      </c>
      <c r="E124" s="190">
        <f t="shared" ref="E124:H124" si="20">SUM(E125:E129)</f>
        <v>71</v>
      </c>
      <c r="F124" s="189">
        <f t="shared" si="20"/>
        <v>194</v>
      </c>
      <c r="G124" s="191">
        <f t="shared" si="15"/>
        <v>236.585365853659</v>
      </c>
      <c r="H124" s="189">
        <f t="shared" si="20"/>
        <v>172</v>
      </c>
      <c r="I124" s="189">
        <f>F124-H124</f>
        <v>22</v>
      </c>
      <c r="J124" s="218">
        <f>I124/H124*100</f>
        <v>12.7906976744186</v>
      </c>
      <c r="K124" s="189">
        <f>SUM(K125:K129)</f>
        <v>106</v>
      </c>
      <c r="L124" s="189">
        <f>K124-D124</f>
        <v>24</v>
      </c>
      <c r="M124" s="191">
        <f>L124/D124*100</f>
        <v>29.2682926829268</v>
      </c>
      <c r="N124" s="219"/>
    </row>
    <row r="125" s="163" customFormat="1" spans="1:14">
      <c r="A125" s="192" t="s">
        <v>138</v>
      </c>
      <c r="B125" s="193">
        <v>2013601</v>
      </c>
      <c r="C125" s="193" t="s">
        <v>139</v>
      </c>
      <c r="D125" s="202">
        <v>60</v>
      </c>
      <c r="E125" s="195">
        <v>49</v>
      </c>
      <c r="F125" s="196">
        <v>60</v>
      </c>
      <c r="G125" s="197">
        <f t="shared" si="15"/>
        <v>100</v>
      </c>
      <c r="H125" s="196">
        <v>40</v>
      </c>
      <c r="I125" s="202">
        <f>F125-H125</f>
        <v>20</v>
      </c>
      <c r="J125" s="220">
        <f>I125/H125*100</f>
        <v>50</v>
      </c>
      <c r="K125" s="202">
        <v>75</v>
      </c>
      <c r="L125" s="202">
        <f>K125-D125</f>
        <v>15</v>
      </c>
      <c r="M125" s="221">
        <f>L125/D125*100</f>
        <v>25</v>
      </c>
      <c r="N125" s="202"/>
    </row>
    <row r="126" spans="1:14">
      <c r="A126" s="198" t="s">
        <v>138</v>
      </c>
      <c r="B126" s="199">
        <v>2013602</v>
      </c>
      <c r="C126" s="199" t="s">
        <v>140</v>
      </c>
      <c r="D126" s="200"/>
      <c r="E126" s="195"/>
      <c r="F126" s="201"/>
      <c r="G126" s="197"/>
      <c r="H126" s="201"/>
      <c r="I126" s="200"/>
      <c r="J126" s="222"/>
      <c r="K126" s="200"/>
      <c r="L126" s="200"/>
      <c r="M126" s="221"/>
      <c r="N126" s="200"/>
    </row>
    <row r="127" spans="1:14">
      <c r="A127" s="198" t="s">
        <v>138</v>
      </c>
      <c r="B127" s="199">
        <v>2013603</v>
      </c>
      <c r="C127" s="199" t="s">
        <v>141</v>
      </c>
      <c r="D127" s="200"/>
      <c r="E127" s="195"/>
      <c r="F127" s="201"/>
      <c r="G127" s="197"/>
      <c r="H127" s="201"/>
      <c r="I127" s="200"/>
      <c r="J127" s="222"/>
      <c r="K127" s="200"/>
      <c r="L127" s="200"/>
      <c r="M127" s="221"/>
      <c r="N127" s="200"/>
    </row>
    <row r="128" s="163" customFormat="1" spans="1:14">
      <c r="A128" s="192" t="s">
        <v>138</v>
      </c>
      <c r="B128" s="193">
        <v>2013650</v>
      </c>
      <c r="C128" s="193" t="s">
        <v>148</v>
      </c>
      <c r="D128" s="202">
        <v>22</v>
      </c>
      <c r="E128" s="195">
        <v>22</v>
      </c>
      <c r="F128" s="196">
        <v>22</v>
      </c>
      <c r="G128" s="197">
        <f t="shared" si="15"/>
        <v>100</v>
      </c>
      <c r="H128" s="196">
        <v>30</v>
      </c>
      <c r="I128" s="202">
        <f>F128-H128</f>
        <v>-8</v>
      </c>
      <c r="J128" s="220">
        <f>I128/H128*100</f>
        <v>-26.6666666666667</v>
      </c>
      <c r="K128" s="202">
        <v>21</v>
      </c>
      <c r="L128" s="202">
        <f>K128-D128</f>
        <v>-1</v>
      </c>
      <c r="M128" s="221">
        <f>L128/D128*100</f>
        <v>-4.54545454545455</v>
      </c>
      <c r="N128" s="202"/>
    </row>
    <row r="129" spans="1:14">
      <c r="A129" s="198" t="s">
        <v>138</v>
      </c>
      <c r="B129" s="199">
        <v>2013699</v>
      </c>
      <c r="C129" s="199" t="s">
        <v>206</v>
      </c>
      <c r="D129" s="200"/>
      <c r="E129" s="195"/>
      <c r="F129" s="201">
        <v>112</v>
      </c>
      <c r="G129" s="197"/>
      <c r="H129" s="201">
        <v>102</v>
      </c>
      <c r="I129" s="200">
        <f>F129-H129</f>
        <v>10</v>
      </c>
      <c r="J129" s="222">
        <f>I129/H129*100</f>
        <v>9.80392156862745</v>
      </c>
      <c r="K129" s="200">
        <v>10</v>
      </c>
      <c r="L129" s="200">
        <f>K129-D129</f>
        <v>10</v>
      </c>
      <c r="M129" s="221"/>
      <c r="N129" s="200"/>
    </row>
    <row r="130" s="162" customFormat="1" spans="1:14">
      <c r="A130" s="186" t="s">
        <v>136</v>
      </c>
      <c r="B130" s="187">
        <v>20137</v>
      </c>
      <c r="C130" s="188" t="s">
        <v>207</v>
      </c>
      <c r="D130" s="189"/>
      <c r="E130" s="190"/>
      <c r="F130" s="189"/>
      <c r="G130" s="191"/>
      <c r="H130" s="189"/>
      <c r="I130" s="189"/>
      <c r="J130" s="218"/>
      <c r="K130" s="189"/>
      <c r="L130" s="189"/>
      <c r="M130" s="191"/>
      <c r="N130" s="219"/>
    </row>
    <row r="131" spans="1:14">
      <c r="A131" s="198" t="s">
        <v>138</v>
      </c>
      <c r="B131" s="199">
        <v>2013799</v>
      </c>
      <c r="C131" s="199" t="s">
        <v>208</v>
      </c>
      <c r="D131" s="200"/>
      <c r="E131" s="195"/>
      <c r="F131" s="201"/>
      <c r="G131" s="197"/>
      <c r="H131" s="201"/>
      <c r="I131" s="200"/>
      <c r="J131" s="222"/>
      <c r="K131" s="200"/>
      <c r="L131" s="200"/>
      <c r="M131" s="221"/>
      <c r="N131" s="200"/>
    </row>
    <row r="132" s="162" customFormat="1" spans="1:14">
      <c r="A132" s="186" t="s">
        <v>136</v>
      </c>
      <c r="B132" s="187">
        <v>20138</v>
      </c>
      <c r="C132" s="188" t="s">
        <v>209</v>
      </c>
      <c r="D132" s="189">
        <f>SUM(D133:D138)</f>
        <v>317</v>
      </c>
      <c r="E132" s="190">
        <f>SUM(E133:E138)</f>
        <v>398</v>
      </c>
      <c r="F132" s="189">
        <f>SUM(F133:F138)</f>
        <v>448</v>
      </c>
      <c r="G132" s="191">
        <f t="shared" si="15"/>
        <v>141.324921135647</v>
      </c>
      <c r="H132" s="189">
        <f>SUM(H133:H138)</f>
        <v>455</v>
      </c>
      <c r="I132" s="189">
        <f>F132-H132</f>
        <v>-7</v>
      </c>
      <c r="J132" s="218">
        <f>I132/H132*100</f>
        <v>-1.53846153846154</v>
      </c>
      <c r="K132" s="189">
        <f>SUM(K133:K138)</f>
        <v>439</v>
      </c>
      <c r="L132" s="189">
        <f>K132-D132</f>
        <v>122</v>
      </c>
      <c r="M132" s="191">
        <f>L132/D132*100</f>
        <v>38.4858044164038</v>
      </c>
      <c r="N132" s="219"/>
    </row>
    <row r="133" s="163" customFormat="1" spans="1:14">
      <c r="A133" s="192" t="s">
        <v>138</v>
      </c>
      <c r="B133" s="193">
        <v>2013801</v>
      </c>
      <c r="C133" s="193" t="s">
        <v>139</v>
      </c>
      <c r="D133" s="202">
        <v>317</v>
      </c>
      <c r="E133" s="195">
        <v>398</v>
      </c>
      <c r="F133" s="196">
        <v>418</v>
      </c>
      <c r="G133" s="197">
        <f t="shared" si="15"/>
        <v>131.86119873817</v>
      </c>
      <c r="H133" s="196">
        <v>386</v>
      </c>
      <c r="I133" s="202">
        <f>F133-H133</f>
        <v>32</v>
      </c>
      <c r="J133" s="220">
        <f>I133/H133*100</f>
        <v>8.29015544041451</v>
      </c>
      <c r="K133" s="202">
        <v>423</v>
      </c>
      <c r="L133" s="202">
        <f>K133-D133</f>
        <v>106</v>
      </c>
      <c r="M133" s="221">
        <f>L133/D133*100</f>
        <v>33.4384858044164</v>
      </c>
      <c r="N133" s="202"/>
    </row>
    <row r="134" spans="1:14">
      <c r="A134" s="198" t="s">
        <v>138</v>
      </c>
      <c r="B134" s="199">
        <v>2013802</v>
      </c>
      <c r="C134" s="199" t="s">
        <v>140</v>
      </c>
      <c r="D134" s="200"/>
      <c r="E134" s="195"/>
      <c r="F134" s="201"/>
      <c r="G134" s="197"/>
      <c r="H134" s="201">
        <v>21</v>
      </c>
      <c r="I134" s="200">
        <f>F134-H134</f>
        <v>-21</v>
      </c>
      <c r="J134" s="222">
        <f>I134/H134*100</f>
        <v>-100</v>
      </c>
      <c r="K134" s="200"/>
      <c r="L134" s="200"/>
      <c r="M134" s="221"/>
      <c r="N134" s="200"/>
    </row>
    <row r="135" spans="1:14">
      <c r="A135" s="198" t="s">
        <v>138</v>
      </c>
      <c r="B135" s="199">
        <v>2013812</v>
      </c>
      <c r="C135" s="199" t="s">
        <v>210</v>
      </c>
      <c r="D135" s="200"/>
      <c r="E135" s="195"/>
      <c r="F135" s="201"/>
      <c r="G135" s="197"/>
      <c r="H135" s="201">
        <v>2</v>
      </c>
      <c r="I135" s="200">
        <f>F135-H135</f>
        <v>-2</v>
      </c>
      <c r="J135" s="222">
        <f>I135/H135*100</f>
        <v>-100</v>
      </c>
      <c r="K135" s="200"/>
      <c r="L135" s="200"/>
      <c r="M135" s="221"/>
      <c r="N135" s="200"/>
    </row>
    <row r="136" spans="1:14">
      <c r="A136" s="198" t="s">
        <v>138</v>
      </c>
      <c r="B136" s="199">
        <v>2013816</v>
      </c>
      <c r="C136" s="199" t="s">
        <v>211</v>
      </c>
      <c r="D136" s="200"/>
      <c r="E136" s="195"/>
      <c r="F136" s="201">
        <v>15</v>
      </c>
      <c r="G136" s="197"/>
      <c r="H136" s="201">
        <v>40</v>
      </c>
      <c r="I136" s="200">
        <f>F136-H136</f>
        <v>-25</v>
      </c>
      <c r="J136" s="222">
        <f>I136/H136*100</f>
        <v>-62.5</v>
      </c>
      <c r="K136" s="200"/>
      <c r="L136" s="200"/>
      <c r="M136" s="221"/>
      <c r="N136" s="200"/>
    </row>
    <row r="137" spans="1:14">
      <c r="A137" s="198" t="s">
        <v>138</v>
      </c>
      <c r="B137" s="199">
        <v>2013850</v>
      </c>
      <c r="C137" s="199" t="s">
        <v>148</v>
      </c>
      <c r="D137" s="200"/>
      <c r="E137" s="195"/>
      <c r="F137" s="201"/>
      <c r="G137" s="197"/>
      <c r="H137" s="201"/>
      <c r="I137" s="200"/>
      <c r="J137" s="222"/>
      <c r="K137" s="200"/>
      <c r="L137" s="200"/>
      <c r="M137" s="221"/>
      <c r="N137" s="200"/>
    </row>
    <row r="138" spans="1:14">
      <c r="A138" s="198" t="s">
        <v>138</v>
      </c>
      <c r="B138" s="199">
        <v>2013899</v>
      </c>
      <c r="C138" s="199" t="s">
        <v>212</v>
      </c>
      <c r="D138" s="200"/>
      <c r="E138" s="195"/>
      <c r="F138" s="201">
        <v>15</v>
      </c>
      <c r="G138" s="197"/>
      <c r="H138" s="201">
        <v>6</v>
      </c>
      <c r="I138" s="200">
        <f>F138-H138</f>
        <v>9</v>
      </c>
      <c r="J138" s="222">
        <f>I138/H138*100</f>
        <v>150</v>
      </c>
      <c r="K138" s="200">
        <v>16</v>
      </c>
      <c r="L138" s="200">
        <f t="shared" ref="L138:L143" si="21">K138-D138</f>
        <v>16</v>
      </c>
      <c r="M138" s="221"/>
      <c r="N138" s="200"/>
    </row>
    <row r="139" s="162" customFormat="1" spans="1:14">
      <c r="A139" s="186" t="s">
        <v>136</v>
      </c>
      <c r="B139" s="187">
        <v>20139</v>
      </c>
      <c r="C139" s="188" t="s">
        <v>213</v>
      </c>
      <c r="D139" s="189"/>
      <c r="E139" s="190">
        <f>SUM(E141:E141)</f>
        <v>0</v>
      </c>
      <c r="F139" s="189">
        <f>SUM(F141:F141)</f>
        <v>1</v>
      </c>
      <c r="G139" s="191"/>
      <c r="H139" s="189"/>
      <c r="I139" s="189">
        <f>F139-H139</f>
        <v>1</v>
      </c>
      <c r="J139" s="189"/>
      <c r="K139" s="189">
        <f>SUM(K140:K141)</f>
        <v>26</v>
      </c>
      <c r="L139" s="189">
        <f t="shared" si="21"/>
        <v>26</v>
      </c>
      <c r="M139" s="189"/>
      <c r="N139" s="219"/>
    </row>
    <row r="140" spans="1:14">
      <c r="A140" s="198" t="s">
        <v>138</v>
      </c>
      <c r="B140" s="199">
        <v>2013901</v>
      </c>
      <c r="C140" s="199" t="s">
        <v>139</v>
      </c>
      <c r="D140" s="201"/>
      <c r="E140" s="201"/>
      <c r="F140" s="201"/>
      <c r="G140" s="197"/>
      <c r="H140" s="201"/>
      <c r="I140" s="201"/>
      <c r="J140" s="201"/>
      <c r="K140" s="201">
        <v>22</v>
      </c>
      <c r="L140" s="200">
        <f t="shared" si="21"/>
        <v>22</v>
      </c>
      <c r="M140" s="201"/>
      <c r="N140" s="200"/>
    </row>
    <row r="141" spans="1:14">
      <c r="A141" s="198" t="s">
        <v>138</v>
      </c>
      <c r="B141" s="199">
        <v>2013999</v>
      </c>
      <c r="C141" s="199" t="s">
        <v>214</v>
      </c>
      <c r="D141" s="200"/>
      <c r="E141" s="195"/>
      <c r="F141" s="201">
        <v>1</v>
      </c>
      <c r="G141" s="197"/>
      <c r="H141" s="201"/>
      <c r="I141" s="200">
        <f>F141-H141</f>
        <v>1</v>
      </c>
      <c r="J141" s="222"/>
      <c r="K141" s="200">
        <v>4</v>
      </c>
      <c r="L141" s="200">
        <f t="shared" si="21"/>
        <v>4</v>
      </c>
      <c r="M141" s="221"/>
      <c r="N141" s="200"/>
    </row>
    <row r="142" s="162" customFormat="1" spans="1:14">
      <c r="A142" s="186" t="s">
        <v>136</v>
      </c>
      <c r="B142" s="187">
        <v>20140</v>
      </c>
      <c r="C142" s="188" t="s">
        <v>215</v>
      </c>
      <c r="D142" s="189">
        <f>SUM(D143:D147)</f>
        <v>21</v>
      </c>
      <c r="E142" s="190">
        <f t="shared" ref="E142:H142" si="22">SUM(E143:E147)</f>
        <v>26</v>
      </c>
      <c r="F142" s="189">
        <f t="shared" si="22"/>
        <v>37</v>
      </c>
      <c r="G142" s="191">
        <f t="shared" ref="G136:G199" si="23">F142/D142*100</f>
        <v>176.190476190476</v>
      </c>
      <c r="H142" s="189">
        <f t="shared" si="22"/>
        <v>31</v>
      </c>
      <c r="I142" s="189">
        <f>F142-H142</f>
        <v>6</v>
      </c>
      <c r="J142" s="189">
        <f>I142/H142*100</f>
        <v>19.3548387096774</v>
      </c>
      <c r="K142" s="189">
        <f>SUM(K143:K147)</f>
        <v>44</v>
      </c>
      <c r="L142" s="189">
        <f t="shared" si="21"/>
        <v>23</v>
      </c>
      <c r="M142" s="189">
        <f>L142/D142*100</f>
        <v>109.52380952381</v>
      </c>
      <c r="N142" s="219"/>
    </row>
    <row r="143" s="163" customFormat="1" spans="1:14">
      <c r="A143" s="192" t="s">
        <v>138</v>
      </c>
      <c r="B143" s="193">
        <v>2014001</v>
      </c>
      <c r="C143" s="193" t="s">
        <v>139</v>
      </c>
      <c r="D143" s="202">
        <v>21</v>
      </c>
      <c r="E143" s="195"/>
      <c r="F143" s="196">
        <v>28</v>
      </c>
      <c r="G143" s="197">
        <f t="shared" si="23"/>
        <v>133.333333333333</v>
      </c>
      <c r="H143" s="196"/>
      <c r="I143" s="202">
        <f>F143-H143</f>
        <v>28</v>
      </c>
      <c r="J143" s="220"/>
      <c r="K143" s="202">
        <v>34</v>
      </c>
      <c r="L143" s="202">
        <f t="shared" si="21"/>
        <v>13</v>
      </c>
      <c r="M143" s="221">
        <f>L143/D143*100</f>
        <v>61.9047619047619</v>
      </c>
      <c r="N143" s="202"/>
    </row>
    <row r="144" spans="1:14">
      <c r="A144" s="198" t="s">
        <v>138</v>
      </c>
      <c r="B144" s="199">
        <v>2014002</v>
      </c>
      <c r="C144" s="199" t="s">
        <v>140</v>
      </c>
      <c r="D144" s="200"/>
      <c r="E144" s="195"/>
      <c r="F144" s="201"/>
      <c r="G144" s="197"/>
      <c r="H144" s="201"/>
      <c r="I144" s="200"/>
      <c r="J144" s="222"/>
      <c r="K144" s="200"/>
      <c r="L144" s="200"/>
      <c r="M144" s="221"/>
      <c r="N144" s="200"/>
    </row>
    <row r="145" spans="1:14">
      <c r="A145" s="198" t="s">
        <v>138</v>
      </c>
      <c r="B145" s="199">
        <v>2014003</v>
      </c>
      <c r="C145" s="199" t="s">
        <v>141</v>
      </c>
      <c r="D145" s="200"/>
      <c r="E145" s="195"/>
      <c r="F145" s="201"/>
      <c r="G145" s="197"/>
      <c r="H145" s="201"/>
      <c r="I145" s="200"/>
      <c r="J145" s="222"/>
      <c r="K145" s="200"/>
      <c r="L145" s="200"/>
      <c r="M145" s="221"/>
      <c r="N145" s="200"/>
    </row>
    <row r="146" spans="1:14">
      <c r="A146" s="198" t="s">
        <v>138</v>
      </c>
      <c r="B146" s="199">
        <v>2014004</v>
      </c>
      <c r="C146" s="199" t="s">
        <v>216</v>
      </c>
      <c r="D146" s="200"/>
      <c r="E146" s="195">
        <v>26</v>
      </c>
      <c r="F146" s="201"/>
      <c r="G146" s="197"/>
      <c r="H146" s="201">
        <v>31</v>
      </c>
      <c r="I146" s="200">
        <f>F146-H146</f>
        <v>-31</v>
      </c>
      <c r="J146" s="222">
        <f>I146/H146*100</f>
        <v>-100</v>
      </c>
      <c r="K146" s="200"/>
      <c r="L146" s="200"/>
      <c r="M146" s="221"/>
      <c r="N146" s="200"/>
    </row>
    <row r="147" spans="1:14">
      <c r="A147" s="198" t="s">
        <v>138</v>
      </c>
      <c r="B147" s="199">
        <v>2014099</v>
      </c>
      <c r="C147" s="199" t="s">
        <v>217</v>
      </c>
      <c r="D147" s="200"/>
      <c r="E147" s="195"/>
      <c r="F147" s="201">
        <v>9</v>
      </c>
      <c r="G147" s="197"/>
      <c r="H147" s="201"/>
      <c r="I147" s="200">
        <f>F147-H147</f>
        <v>9</v>
      </c>
      <c r="J147" s="222"/>
      <c r="K147" s="200">
        <v>10</v>
      </c>
      <c r="L147" s="200">
        <f>K147-D147</f>
        <v>10</v>
      </c>
      <c r="M147" s="221"/>
      <c r="N147" s="200"/>
    </row>
    <row r="148" s="162" customFormat="1" spans="1:14">
      <c r="A148" s="186" t="s">
        <v>136</v>
      </c>
      <c r="B148" s="187">
        <v>20199</v>
      </c>
      <c r="C148" s="188" t="s">
        <v>218</v>
      </c>
      <c r="D148" s="189"/>
      <c r="E148" s="190">
        <f t="shared" ref="E148:H148" si="24">SUM(E149:E150)</f>
        <v>4</v>
      </c>
      <c r="F148" s="189"/>
      <c r="G148" s="191"/>
      <c r="H148" s="189">
        <f t="shared" si="24"/>
        <v>2</v>
      </c>
      <c r="I148" s="189">
        <f>F148-H148</f>
        <v>-2</v>
      </c>
      <c r="J148" s="218">
        <f>I148/H148*100</f>
        <v>-100</v>
      </c>
      <c r="K148" s="189">
        <f>SUM(K149:K150)</f>
        <v>230</v>
      </c>
      <c r="L148" s="189">
        <f>SUM(L149:L150)</f>
        <v>230</v>
      </c>
      <c r="M148" s="191"/>
      <c r="N148" s="219"/>
    </row>
    <row r="149" spans="1:14">
      <c r="A149" s="198" t="s">
        <v>138</v>
      </c>
      <c r="B149" s="199">
        <v>2019901</v>
      </c>
      <c r="C149" s="199" t="s">
        <v>219</v>
      </c>
      <c r="D149" s="200"/>
      <c r="E149" s="195"/>
      <c r="F149" s="201"/>
      <c r="G149" s="197"/>
      <c r="H149" s="201"/>
      <c r="I149" s="200"/>
      <c r="J149" s="222"/>
      <c r="K149" s="200"/>
      <c r="L149" s="200"/>
      <c r="M149" s="221"/>
      <c r="N149" s="200"/>
    </row>
    <row r="150" spans="1:14">
      <c r="A150" s="198" t="s">
        <v>138</v>
      </c>
      <c r="B150" s="199">
        <v>2019999</v>
      </c>
      <c r="C150" s="199" t="s">
        <v>220</v>
      </c>
      <c r="D150" s="200"/>
      <c r="E150" s="195">
        <v>4</v>
      </c>
      <c r="F150" s="201"/>
      <c r="G150" s="197"/>
      <c r="H150" s="201">
        <v>2</v>
      </c>
      <c r="I150" s="200">
        <f>F150-H150</f>
        <v>-2</v>
      </c>
      <c r="J150" s="222">
        <f>I150/H150*100</f>
        <v>-100</v>
      </c>
      <c r="K150" s="200">
        <v>230</v>
      </c>
      <c r="L150" s="200">
        <v>230</v>
      </c>
      <c r="M150" s="221"/>
      <c r="N150" s="200"/>
    </row>
    <row r="151" s="161" customFormat="1" spans="1:14">
      <c r="A151" s="181" t="s">
        <v>134</v>
      </c>
      <c r="B151" s="182">
        <v>202</v>
      </c>
      <c r="C151" s="182" t="s">
        <v>221</v>
      </c>
      <c r="D151" s="183"/>
      <c r="E151" s="184">
        <f>E152+E154+E156+E158+E160+E162+E164+E166+E168</f>
        <v>0</v>
      </c>
      <c r="F151" s="183"/>
      <c r="G151" s="185"/>
      <c r="H151" s="183"/>
      <c r="I151" s="183"/>
      <c r="J151" s="215"/>
      <c r="K151" s="183"/>
      <c r="L151" s="216"/>
      <c r="M151" s="217"/>
      <c r="N151" s="216"/>
    </row>
    <row r="152" s="162" customFormat="1" spans="1:14">
      <c r="A152" s="186" t="s">
        <v>136</v>
      </c>
      <c r="B152" s="187">
        <v>20201</v>
      </c>
      <c r="C152" s="188" t="s">
        <v>222</v>
      </c>
      <c r="D152" s="189"/>
      <c r="E152" s="190">
        <f>SUM(E153:E153)</f>
        <v>0</v>
      </c>
      <c r="F152" s="189"/>
      <c r="G152" s="191"/>
      <c r="H152" s="189"/>
      <c r="I152" s="189"/>
      <c r="J152" s="218"/>
      <c r="K152" s="189"/>
      <c r="L152" s="189"/>
      <c r="M152" s="191"/>
      <c r="N152" s="219"/>
    </row>
    <row r="153" spans="1:14">
      <c r="A153" s="198" t="s">
        <v>138</v>
      </c>
      <c r="B153" s="199">
        <v>2020199</v>
      </c>
      <c r="C153" s="199" t="s">
        <v>223</v>
      </c>
      <c r="D153" s="200"/>
      <c r="E153" s="195"/>
      <c r="F153" s="201"/>
      <c r="G153" s="197"/>
      <c r="H153" s="201"/>
      <c r="I153" s="200"/>
      <c r="J153" s="222"/>
      <c r="K153" s="200"/>
      <c r="L153" s="200"/>
      <c r="M153" s="221"/>
      <c r="N153" s="200"/>
    </row>
    <row r="154" s="162" customFormat="1" spans="1:14">
      <c r="A154" s="186" t="s">
        <v>136</v>
      </c>
      <c r="B154" s="187">
        <v>20202</v>
      </c>
      <c r="C154" s="188" t="s">
        <v>224</v>
      </c>
      <c r="D154" s="189"/>
      <c r="E154" s="190">
        <f>SUM(E155:E155)</f>
        <v>0</v>
      </c>
      <c r="F154" s="189"/>
      <c r="G154" s="191"/>
      <c r="H154" s="189"/>
      <c r="I154" s="189"/>
      <c r="J154" s="218"/>
      <c r="K154" s="189"/>
      <c r="L154" s="189"/>
      <c r="M154" s="191"/>
      <c r="N154" s="219"/>
    </row>
    <row r="155" spans="1:14">
      <c r="A155" s="198" t="s">
        <v>138</v>
      </c>
      <c r="B155" s="199">
        <v>2020202</v>
      </c>
      <c r="C155" s="199" t="s">
        <v>225</v>
      </c>
      <c r="D155" s="200"/>
      <c r="E155" s="195"/>
      <c r="F155" s="201"/>
      <c r="G155" s="197"/>
      <c r="H155" s="201"/>
      <c r="I155" s="200"/>
      <c r="J155" s="222"/>
      <c r="K155" s="200"/>
      <c r="L155" s="200"/>
      <c r="M155" s="221"/>
      <c r="N155" s="200"/>
    </row>
    <row r="156" s="162" customFormat="1" spans="1:14">
      <c r="A156" s="186" t="s">
        <v>136</v>
      </c>
      <c r="B156" s="187">
        <v>20203</v>
      </c>
      <c r="C156" s="188" t="s">
        <v>226</v>
      </c>
      <c r="D156" s="189"/>
      <c r="E156" s="190">
        <f>SUM(E157:E157)</f>
        <v>0</v>
      </c>
      <c r="F156" s="189"/>
      <c r="G156" s="191"/>
      <c r="H156" s="189"/>
      <c r="I156" s="189"/>
      <c r="J156" s="218"/>
      <c r="K156" s="189"/>
      <c r="L156" s="189"/>
      <c r="M156" s="191"/>
      <c r="N156" s="219"/>
    </row>
    <row r="157" spans="1:14">
      <c r="A157" s="198" t="s">
        <v>138</v>
      </c>
      <c r="B157" s="199">
        <v>2020306</v>
      </c>
      <c r="C157" s="199" t="s">
        <v>227</v>
      </c>
      <c r="D157" s="200"/>
      <c r="E157" s="195"/>
      <c r="F157" s="201"/>
      <c r="G157" s="197"/>
      <c r="H157" s="201"/>
      <c r="I157" s="200"/>
      <c r="J157" s="222"/>
      <c r="K157" s="200"/>
      <c r="L157" s="200"/>
      <c r="M157" s="221"/>
      <c r="N157" s="200"/>
    </row>
    <row r="158" s="162" customFormat="1" spans="1:14">
      <c r="A158" s="186" t="s">
        <v>136</v>
      </c>
      <c r="B158" s="187">
        <v>20204</v>
      </c>
      <c r="C158" s="188" t="s">
        <v>228</v>
      </c>
      <c r="D158" s="189"/>
      <c r="E158" s="190">
        <f>SUM(E159:E159)</f>
        <v>0</v>
      </c>
      <c r="F158" s="189"/>
      <c r="G158" s="191"/>
      <c r="H158" s="189"/>
      <c r="I158" s="189"/>
      <c r="J158" s="218"/>
      <c r="K158" s="189"/>
      <c r="L158" s="189"/>
      <c r="M158" s="191"/>
      <c r="N158" s="219"/>
    </row>
    <row r="159" spans="1:14">
      <c r="A159" s="198" t="s">
        <v>138</v>
      </c>
      <c r="B159" s="199">
        <v>2020499</v>
      </c>
      <c r="C159" s="199" t="s">
        <v>229</v>
      </c>
      <c r="D159" s="200"/>
      <c r="E159" s="195"/>
      <c r="F159" s="201"/>
      <c r="G159" s="197"/>
      <c r="H159" s="201"/>
      <c r="I159" s="200"/>
      <c r="J159" s="222"/>
      <c r="K159" s="200"/>
      <c r="L159" s="200"/>
      <c r="M159" s="221"/>
      <c r="N159" s="200"/>
    </row>
    <row r="160" s="162" customFormat="1" spans="1:14">
      <c r="A160" s="186" t="s">
        <v>136</v>
      </c>
      <c r="B160" s="187">
        <v>20205</v>
      </c>
      <c r="C160" s="188" t="s">
        <v>230</v>
      </c>
      <c r="D160" s="189"/>
      <c r="E160" s="190">
        <f>SUM(E161:E161)</f>
        <v>0</v>
      </c>
      <c r="F160" s="189"/>
      <c r="G160" s="191"/>
      <c r="H160" s="189"/>
      <c r="I160" s="189"/>
      <c r="J160" s="218"/>
      <c r="K160" s="189"/>
      <c r="L160" s="189"/>
      <c r="M160" s="191"/>
      <c r="N160" s="219"/>
    </row>
    <row r="161" spans="1:14">
      <c r="A161" s="198" t="s">
        <v>138</v>
      </c>
      <c r="B161" s="199">
        <v>2020599</v>
      </c>
      <c r="C161" s="199" t="s">
        <v>231</v>
      </c>
      <c r="D161" s="200"/>
      <c r="E161" s="195"/>
      <c r="F161" s="201"/>
      <c r="G161" s="197"/>
      <c r="H161" s="201"/>
      <c r="I161" s="200"/>
      <c r="J161" s="222"/>
      <c r="K161" s="200"/>
      <c r="L161" s="200"/>
      <c r="M161" s="221"/>
      <c r="N161" s="200"/>
    </row>
    <row r="162" s="162" customFormat="1" spans="1:14">
      <c r="A162" s="186" t="s">
        <v>136</v>
      </c>
      <c r="B162" s="187">
        <v>20206</v>
      </c>
      <c r="C162" s="188" t="s">
        <v>232</v>
      </c>
      <c r="D162" s="189"/>
      <c r="E162" s="190">
        <f>E163</f>
        <v>0</v>
      </c>
      <c r="F162" s="189"/>
      <c r="G162" s="191"/>
      <c r="H162" s="189"/>
      <c r="I162" s="189"/>
      <c r="J162" s="218"/>
      <c r="K162" s="189"/>
      <c r="L162" s="189"/>
      <c r="M162" s="191"/>
      <c r="N162" s="219"/>
    </row>
    <row r="163" spans="1:14">
      <c r="A163" s="198" t="s">
        <v>138</v>
      </c>
      <c r="B163" s="199">
        <v>2020601</v>
      </c>
      <c r="C163" s="199" t="s">
        <v>233</v>
      </c>
      <c r="D163" s="200"/>
      <c r="E163" s="195"/>
      <c r="F163" s="201"/>
      <c r="G163" s="197"/>
      <c r="H163" s="201"/>
      <c r="I163" s="200"/>
      <c r="J163" s="222"/>
      <c r="K163" s="200"/>
      <c r="L163" s="200"/>
      <c r="M163" s="221"/>
      <c r="N163" s="200"/>
    </row>
    <row r="164" s="162" customFormat="1" spans="1:14">
      <c r="A164" s="186" t="s">
        <v>136</v>
      </c>
      <c r="B164" s="187">
        <v>20207</v>
      </c>
      <c r="C164" s="188" t="s">
        <v>234</v>
      </c>
      <c r="D164" s="189"/>
      <c r="E164" s="190">
        <f>SUM(E165:E165)</f>
        <v>0</v>
      </c>
      <c r="F164" s="189"/>
      <c r="G164" s="191"/>
      <c r="H164" s="189"/>
      <c r="I164" s="189"/>
      <c r="J164" s="218"/>
      <c r="K164" s="189"/>
      <c r="L164" s="189"/>
      <c r="M164" s="191"/>
      <c r="N164" s="219"/>
    </row>
    <row r="165" spans="1:14">
      <c r="A165" s="198" t="s">
        <v>138</v>
      </c>
      <c r="B165" s="199">
        <v>2020799</v>
      </c>
      <c r="C165" s="199" t="s">
        <v>235</v>
      </c>
      <c r="D165" s="200"/>
      <c r="E165" s="195"/>
      <c r="F165" s="201"/>
      <c r="G165" s="197"/>
      <c r="H165" s="201"/>
      <c r="I165" s="200"/>
      <c r="J165" s="222"/>
      <c r="K165" s="200"/>
      <c r="L165" s="200"/>
      <c r="M165" s="221"/>
      <c r="N165" s="200"/>
    </row>
    <row r="166" s="162" customFormat="1" spans="1:14">
      <c r="A166" s="186" t="s">
        <v>136</v>
      </c>
      <c r="B166" s="187">
        <v>20208</v>
      </c>
      <c r="C166" s="188" t="s">
        <v>236</v>
      </c>
      <c r="D166" s="189"/>
      <c r="E166" s="190">
        <f>SUM(E167:E167)</f>
        <v>0</v>
      </c>
      <c r="F166" s="189"/>
      <c r="G166" s="191"/>
      <c r="H166" s="189"/>
      <c r="I166" s="189"/>
      <c r="J166" s="218"/>
      <c r="K166" s="189"/>
      <c r="L166" s="189"/>
      <c r="M166" s="191"/>
      <c r="N166" s="219"/>
    </row>
    <row r="167" spans="1:14">
      <c r="A167" s="198" t="s">
        <v>138</v>
      </c>
      <c r="B167" s="199">
        <v>2020899</v>
      </c>
      <c r="C167" s="199" t="s">
        <v>237</v>
      </c>
      <c r="D167" s="200"/>
      <c r="E167" s="195"/>
      <c r="F167" s="201"/>
      <c r="G167" s="197"/>
      <c r="H167" s="201"/>
      <c r="I167" s="200"/>
      <c r="J167" s="222"/>
      <c r="K167" s="200"/>
      <c r="L167" s="200"/>
      <c r="M167" s="221"/>
      <c r="N167" s="200"/>
    </row>
    <row r="168" s="162" customFormat="1" spans="1:14">
      <c r="A168" s="186" t="s">
        <v>136</v>
      </c>
      <c r="B168" s="187">
        <v>20299</v>
      </c>
      <c r="C168" s="188" t="s">
        <v>238</v>
      </c>
      <c r="D168" s="189"/>
      <c r="E168" s="190">
        <f>E169</f>
        <v>0</v>
      </c>
      <c r="F168" s="189"/>
      <c r="G168" s="191"/>
      <c r="H168" s="189"/>
      <c r="I168" s="189"/>
      <c r="J168" s="218"/>
      <c r="K168" s="189"/>
      <c r="L168" s="189"/>
      <c r="M168" s="191"/>
      <c r="N168" s="219"/>
    </row>
    <row r="169" spans="1:14">
      <c r="A169" s="198" t="s">
        <v>138</v>
      </c>
      <c r="B169" s="199">
        <v>2029999</v>
      </c>
      <c r="C169" s="199" t="s">
        <v>239</v>
      </c>
      <c r="D169" s="200"/>
      <c r="E169" s="195"/>
      <c r="F169" s="201"/>
      <c r="G169" s="197"/>
      <c r="H169" s="201"/>
      <c r="I169" s="200"/>
      <c r="J169" s="222"/>
      <c r="K169" s="200"/>
      <c r="L169" s="200"/>
      <c r="M169" s="221"/>
      <c r="N169" s="200"/>
    </row>
    <row r="170" s="161" customFormat="1" spans="1:14">
      <c r="A170" s="181" t="s">
        <v>134</v>
      </c>
      <c r="B170" s="182">
        <v>203</v>
      </c>
      <c r="C170" s="182" t="s">
        <v>240</v>
      </c>
      <c r="D170" s="183">
        <f>SUM(D171,D173,D175,D177,D181)</f>
        <v>63</v>
      </c>
      <c r="E170" s="184">
        <f t="shared" ref="E170:K170" si="25">SUM(E171,E173,E175,E177,E181)</f>
        <v>63</v>
      </c>
      <c r="F170" s="183">
        <f t="shared" si="25"/>
        <v>86</v>
      </c>
      <c r="G170" s="185">
        <f t="shared" si="23"/>
        <v>136.507936507937</v>
      </c>
      <c r="H170" s="183">
        <f>SUM(H171,H173,H175,H177,H181)</f>
        <v>143</v>
      </c>
      <c r="I170" s="183">
        <f>F170-H170</f>
        <v>-57</v>
      </c>
      <c r="J170" s="215">
        <f>I170/H170*100</f>
        <v>-39.8601398601399</v>
      </c>
      <c r="K170" s="183">
        <f t="shared" si="25"/>
        <v>67</v>
      </c>
      <c r="L170" s="216">
        <f>K170-D170</f>
        <v>4</v>
      </c>
      <c r="M170" s="217">
        <f>L170/D170*100</f>
        <v>6.34920634920635</v>
      </c>
      <c r="N170" s="216"/>
    </row>
    <row r="171" s="162" customFormat="1" spans="1:14">
      <c r="A171" s="186" t="s">
        <v>136</v>
      </c>
      <c r="B171" s="187">
        <v>20301</v>
      </c>
      <c r="C171" s="188" t="s">
        <v>241</v>
      </c>
      <c r="D171" s="189"/>
      <c r="E171" s="190">
        <f>SUM(E172:E172)</f>
        <v>0</v>
      </c>
      <c r="F171" s="189"/>
      <c r="G171" s="191"/>
      <c r="H171" s="189"/>
      <c r="I171" s="189"/>
      <c r="J171" s="218"/>
      <c r="K171" s="189"/>
      <c r="L171" s="189"/>
      <c r="M171" s="191"/>
      <c r="N171" s="219"/>
    </row>
    <row r="172" spans="1:14">
      <c r="A172" s="198" t="s">
        <v>138</v>
      </c>
      <c r="B172" s="199">
        <v>2030199</v>
      </c>
      <c r="C172" s="199" t="s">
        <v>242</v>
      </c>
      <c r="D172" s="200"/>
      <c r="E172" s="195"/>
      <c r="F172" s="201"/>
      <c r="G172" s="197"/>
      <c r="H172" s="201"/>
      <c r="I172" s="200"/>
      <c r="J172" s="222"/>
      <c r="K172" s="200"/>
      <c r="L172" s="200"/>
      <c r="M172" s="221"/>
      <c r="N172" s="200"/>
    </row>
    <row r="173" s="162" customFormat="1" spans="1:14">
      <c r="A173" s="186" t="s">
        <v>136</v>
      </c>
      <c r="B173" s="187">
        <v>20304</v>
      </c>
      <c r="C173" s="188" t="s">
        <v>243</v>
      </c>
      <c r="D173" s="189"/>
      <c r="E173" s="190">
        <f>E174</f>
        <v>0</v>
      </c>
      <c r="F173" s="189"/>
      <c r="G173" s="191"/>
      <c r="H173" s="189"/>
      <c r="I173" s="189"/>
      <c r="J173" s="218"/>
      <c r="K173" s="189"/>
      <c r="L173" s="189"/>
      <c r="M173" s="191"/>
      <c r="N173" s="219"/>
    </row>
    <row r="174" spans="1:14">
      <c r="A174" s="198" t="s">
        <v>138</v>
      </c>
      <c r="B174" s="199">
        <v>2030401</v>
      </c>
      <c r="C174" s="199" t="s">
        <v>244</v>
      </c>
      <c r="D174" s="200"/>
      <c r="E174" s="195"/>
      <c r="F174" s="201"/>
      <c r="G174" s="197"/>
      <c r="H174" s="201"/>
      <c r="I174" s="200"/>
      <c r="J174" s="222"/>
      <c r="K174" s="200"/>
      <c r="L174" s="200"/>
      <c r="M174" s="221"/>
      <c r="N174" s="200"/>
    </row>
    <row r="175" s="162" customFormat="1" spans="1:14">
      <c r="A175" s="186" t="s">
        <v>136</v>
      </c>
      <c r="B175" s="187">
        <v>20305</v>
      </c>
      <c r="C175" s="188" t="s">
        <v>245</v>
      </c>
      <c r="D175" s="189"/>
      <c r="E175" s="190">
        <f>E176</f>
        <v>0</v>
      </c>
      <c r="F175" s="189"/>
      <c r="G175" s="191"/>
      <c r="H175" s="189"/>
      <c r="I175" s="189"/>
      <c r="J175" s="218"/>
      <c r="K175" s="189"/>
      <c r="L175" s="189"/>
      <c r="M175" s="191"/>
      <c r="N175" s="219"/>
    </row>
    <row r="176" spans="1:14">
      <c r="A176" s="198" t="s">
        <v>138</v>
      </c>
      <c r="B176" s="199">
        <v>2030501</v>
      </c>
      <c r="C176" s="199" t="s">
        <v>246</v>
      </c>
      <c r="D176" s="200"/>
      <c r="E176" s="195"/>
      <c r="F176" s="201"/>
      <c r="G176" s="197"/>
      <c r="H176" s="201"/>
      <c r="I176" s="200"/>
      <c r="J176" s="222"/>
      <c r="K176" s="200"/>
      <c r="L176" s="200"/>
      <c r="M176" s="221"/>
      <c r="N176" s="200"/>
    </row>
    <row r="177" s="162" customFormat="1" spans="1:14">
      <c r="A177" s="186" t="s">
        <v>136</v>
      </c>
      <c r="B177" s="187">
        <v>20306</v>
      </c>
      <c r="C177" s="188" t="s">
        <v>247</v>
      </c>
      <c r="D177" s="189">
        <f>SUM(D178:D180)</f>
        <v>63</v>
      </c>
      <c r="E177" s="190">
        <f>SUM(E178:E180)</f>
        <v>63</v>
      </c>
      <c r="F177" s="189">
        <f>SUM(F178:F180)</f>
        <v>20</v>
      </c>
      <c r="G177" s="191">
        <f t="shared" si="23"/>
        <v>31.7460317460317</v>
      </c>
      <c r="H177" s="189">
        <f>SUM(H178:H180)</f>
        <v>55</v>
      </c>
      <c r="I177" s="189">
        <f>F177-H177</f>
        <v>-35</v>
      </c>
      <c r="J177" s="218">
        <f>I177/H177*100</f>
        <v>-63.6363636363636</v>
      </c>
      <c r="K177" s="189">
        <f>SUM(K178:K180)</f>
        <v>67</v>
      </c>
      <c r="L177" s="189">
        <f>K177-D177</f>
        <v>4</v>
      </c>
      <c r="M177" s="191">
        <f>L177/D177*100</f>
        <v>6.34920634920635</v>
      </c>
      <c r="N177" s="219"/>
    </row>
    <row r="178" spans="1:14">
      <c r="A178" s="198" t="s">
        <v>138</v>
      </c>
      <c r="B178" s="199">
        <v>2030607</v>
      </c>
      <c r="C178" s="199" t="s">
        <v>248</v>
      </c>
      <c r="D178" s="200"/>
      <c r="E178" s="195"/>
      <c r="F178" s="201">
        <v>20</v>
      </c>
      <c r="G178" s="197"/>
      <c r="H178" s="201">
        <v>55</v>
      </c>
      <c r="I178" s="200">
        <f>F178-H178</f>
        <v>-35</v>
      </c>
      <c r="J178" s="222">
        <f>I178/H178*100</f>
        <v>-63.6363636363636</v>
      </c>
      <c r="K178" s="200">
        <v>20</v>
      </c>
      <c r="L178" s="200">
        <f>K178-D178</f>
        <v>20</v>
      </c>
      <c r="M178" s="221"/>
      <c r="N178" s="200"/>
    </row>
    <row r="179" spans="1:14">
      <c r="A179" s="198" t="s">
        <v>138</v>
      </c>
      <c r="B179" s="199">
        <v>2030608</v>
      </c>
      <c r="C179" s="199" t="s">
        <v>249</v>
      </c>
      <c r="D179" s="200"/>
      <c r="E179" s="195"/>
      <c r="F179" s="201"/>
      <c r="G179" s="197"/>
      <c r="H179" s="201"/>
      <c r="I179" s="200"/>
      <c r="J179" s="222"/>
      <c r="K179" s="200"/>
      <c r="L179" s="200"/>
      <c r="M179" s="221"/>
      <c r="N179" s="200"/>
    </row>
    <row r="180" spans="1:14">
      <c r="A180" s="198" t="s">
        <v>138</v>
      </c>
      <c r="B180" s="199">
        <v>2030699</v>
      </c>
      <c r="C180" s="199" t="s">
        <v>250</v>
      </c>
      <c r="D180" s="200">
        <v>63</v>
      </c>
      <c r="E180" s="195">
        <v>63</v>
      </c>
      <c r="F180" s="201"/>
      <c r="G180" s="197"/>
      <c r="H180" s="201"/>
      <c r="I180" s="200"/>
      <c r="J180" s="222"/>
      <c r="K180" s="200">
        <v>47</v>
      </c>
      <c r="L180" s="200">
        <f>K180-D180</f>
        <v>-16</v>
      </c>
      <c r="M180" s="221">
        <f>L180/D180*100</f>
        <v>-25.3968253968254</v>
      </c>
      <c r="N180" s="200"/>
    </row>
    <row r="181" s="162" customFormat="1" spans="1:14">
      <c r="A181" s="186" t="s">
        <v>136</v>
      </c>
      <c r="B181" s="187">
        <v>20399</v>
      </c>
      <c r="C181" s="188" t="s">
        <v>251</v>
      </c>
      <c r="D181" s="189"/>
      <c r="E181" s="190">
        <f t="shared" ref="E181:H181" si="26">E182</f>
        <v>0</v>
      </c>
      <c r="F181" s="189">
        <f t="shared" si="26"/>
        <v>66</v>
      </c>
      <c r="G181" s="191"/>
      <c r="H181" s="189">
        <f t="shared" si="26"/>
        <v>88</v>
      </c>
      <c r="I181" s="189">
        <f>F181-H181</f>
        <v>-22</v>
      </c>
      <c r="J181" s="218">
        <f>I181/H181*100</f>
        <v>-25</v>
      </c>
      <c r="K181" s="189"/>
      <c r="L181" s="189"/>
      <c r="M181" s="191"/>
      <c r="N181" s="219"/>
    </row>
    <row r="182" spans="1:14">
      <c r="A182" s="198" t="s">
        <v>138</v>
      </c>
      <c r="B182" s="199">
        <v>2039999</v>
      </c>
      <c r="C182" s="199" t="s">
        <v>252</v>
      </c>
      <c r="D182" s="200"/>
      <c r="E182" s="195"/>
      <c r="F182" s="201">
        <v>66</v>
      </c>
      <c r="G182" s="197"/>
      <c r="H182" s="201">
        <v>88</v>
      </c>
      <c r="I182" s="200">
        <f>F182-H182</f>
        <v>-22</v>
      </c>
      <c r="J182" s="222">
        <f>I182/H182*100</f>
        <v>-25</v>
      </c>
      <c r="K182" s="200"/>
      <c r="L182" s="200"/>
      <c r="M182" s="221"/>
      <c r="N182" s="200"/>
    </row>
    <row r="183" s="161" customFormat="1" spans="1:14">
      <c r="A183" s="181" t="s">
        <v>134</v>
      </c>
      <c r="B183" s="182">
        <v>204</v>
      </c>
      <c r="C183" s="182" t="s">
        <v>253</v>
      </c>
      <c r="D183" s="183">
        <f>D184+D186+D189+D191+D194+D203+D217+D219+D221+D223+D225</f>
        <v>67</v>
      </c>
      <c r="E183" s="184">
        <f t="shared" ref="E183:K183" si="27">E184+E186+E189+E191+E194+E203+E217+E219+E221+E223+E225</f>
        <v>133</v>
      </c>
      <c r="F183" s="183">
        <f t="shared" si="27"/>
        <v>379</v>
      </c>
      <c r="G183" s="185">
        <f t="shared" si="23"/>
        <v>565.671641791045</v>
      </c>
      <c r="H183" s="183">
        <f>H184+H186+H189+H191+H194+H203+H217+H219+H221+H223+H225</f>
        <v>1413</v>
      </c>
      <c r="I183" s="183">
        <f>F183-H183</f>
        <v>-1034</v>
      </c>
      <c r="J183" s="215">
        <f>I183/H183*100</f>
        <v>-73.1776362349611</v>
      </c>
      <c r="K183" s="183">
        <f t="shared" si="27"/>
        <v>104</v>
      </c>
      <c r="L183" s="216">
        <f>K183-D183</f>
        <v>37</v>
      </c>
      <c r="M183" s="217">
        <f>L183/D183*100</f>
        <v>55.2238805970149</v>
      </c>
      <c r="N183" s="216"/>
    </row>
    <row r="184" s="162" customFormat="1" spans="1:14">
      <c r="A184" s="186" t="s">
        <v>136</v>
      </c>
      <c r="B184" s="187">
        <v>20401</v>
      </c>
      <c r="C184" s="188" t="s">
        <v>254</v>
      </c>
      <c r="D184" s="189"/>
      <c r="E184" s="190">
        <f>SUM(E185:E185)</f>
        <v>0</v>
      </c>
      <c r="F184" s="189"/>
      <c r="G184" s="191"/>
      <c r="H184" s="189"/>
      <c r="I184" s="189"/>
      <c r="J184" s="218"/>
      <c r="K184" s="189"/>
      <c r="L184" s="189"/>
      <c r="M184" s="191"/>
      <c r="N184" s="219"/>
    </row>
    <row r="185" spans="1:14">
      <c r="A185" s="198" t="s">
        <v>138</v>
      </c>
      <c r="B185" s="199">
        <v>2040199</v>
      </c>
      <c r="C185" s="199" t="s">
        <v>255</v>
      </c>
      <c r="D185" s="200"/>
      <c r="E185" s="195"/>
      <c r="F185" s="201"/>
      <c r="G185" s="197"/>
      <c r="H185" s="201"/>
      <c r="I185" s="200"/>
      <c r="J185" s="222"/>
      <c r="K185" s="200"/>
      <c r="L185" s="200"/>
      <c r="M185" s="221"/>
      <c r="N185" s="200"/>
    </row>
    <row r="186" s="162" customFormat="1" spans="1:14">
      <c r="A186" s="186" t="s">
        <v>136</v>
      </c>
      <c r="B186" s="187">
        <v>20402</v>
      </c>
      <c r="C186" s="188" t="s">
        <v>256</v>
      </c>
      <c r="D186" s="189"/>
      <c r="E186" s="190">
        <f>SUM(E187:E188)</f>
        <v>0</v>
      </c>
      <c r="F186" s="189">
        <f>SUM(F187:F188)</f>
        <v>62</v>
      </c>
      <c r="G186" s="191"/>
      <c r="H186" s="189">
        <f>SUM(H187:H188)</f>
        <v>196</v>
      </c>
      <c r="I186" s="189">
        <f t="shared" ref="I186:I196" si="28">F186-H186</f>
        <v>-134</v>
      </c>
      <c r="J186" s="218">
        <f t="shared" ref="J186:J196" si="29">I186/H186*100</f>
        <v>-68.3673469387755</v>
      </c>
      <c r="K186" s="189"/>
      <c r="L186" s="189"/>
      <c r="M186" s="191"/>
      <c r="N186" s="219"/>
    </row>
    <row r="187" spans="1:14">
      <c r="A187" s="198" t="s">
        <v>138</v>
      </c>
      <c r="B187" s="199">
        <v>2040201</v>
      </c>
      <c r="C187" s="199" t="s">
        <v>139</v>
      </c>
      <c r="D187" s="200"/>
      <c r="E187" s="195"/>
      <c r="F187" s="201"/>
      <c r="G187" s="197"/>
      <c r="H187" s="201">
        <v>20</v>
      </c>
      <c r="I187" s="200">
        <f t="shared" si="28"/>
        <v>-20</v>
      </c>
      <c r="J187" s="222">
        <f t="shared" si="29"/>
        <v>-100</v>
      </c>
      <c r="K187" s="200"/>
      <c r="L187" s="200"/>
      <c r="M187" s="221"/>
      <c r="N187" s="200"/>
    </row>
    <row r="188" spans="1:14">
      <c r="A188" s="198" t="s">
        <v>138</v>
      </c>
      <c r="B188" s="199">
        <v>2040299</v>
      </c>
      <c r="C188" s="199" t="s">
        <v>257</v>
      </c>
      <c r="D188" s="200"/>
      <c r="E188" s="195"/>
      <c r="F188" s="201">
        <v>62</v>
      </c>
      <c r="G188" s="197"/>
      <c r="H188" s="201">
        <v>176</v>
      </c>
      <c r="I188" s="200">
        <f t="shared" si="28"/>
        <v>-114</v>
      </c>
      <c r="J188" s="222">
        <f t="shared" si="29"/>
        <v>-64.7727272727273</v>
      </c>
      <c r="K188" s="200"/>
      <c r="L188" s="200"/>
      <c r="M188" s="221"/>
      <c r="N188" s="200"/>
    </row>
    <row r="189" s="162" customFormat="1" spans="1:14">
      <c r="A189" s="186" t="s">
        <v>136</v>
      </c>
      <c r="B189" s="187">
        <v>20403</v>
      </c>
      <c r="C189" s="188" t="s">
        <v>258</v>
      </c>
      <c r="D189" s="189"/>
      <c r="E189" s="190">
        <f>SUM(E190:E190)</f>
        <v>0</v>
      </c>
      <c r="F189" s="189"/>
      <c r="G189" s="191"/>
      <c r="H189" s="189">
        <f>SUM(H190:H190)</f>
        <v>20</v>
      </c>
      <c r="I189" s="189">
        <f t="shared" si="28"/>
        <v>-20</v>
      </c>
      <c r="J189" s="218">
        <f t="shared" si="29"/>
        <v>-100</v>
      </c>
      <c r="K189" s="189"/>
      <c r="L189" s="189"/>
      <c r="M189" s="191"/>
      <c r="N189" s="219"/>
    </row>
    <row r="190" spans="1:14">
      <c r="A190" s="198" t="s">
        <v>138</v>
      </c>
      <c r="B190" s="199">
        <v>2040399</v>
      </c>
      <c r="C190" s="199" t="s">
        <v>259</v>
      </c>
      <c r="D190" s="200"/>
      <c r="E190" s="195"/>
      <c r="F190" s="201"/>
      <c r="G190" s="197"/>
      <c r="H190" s="201">
        <v>20</v>
      </c>
      <c r="I190" s="200">
        <f t="shared" si="28"/>
        <v>-20</v>
      </c>
      <c r="J190" s="222">
        <f t="shared" si="29"/>
        <v>-100</v>
      </c>
      <c r="K190" s="200"/>
      <c r="L190" s="200"/>
      <c r="M190" s="221"/>
      <c r="N190" s="200"/>
    </row>
    <row r="191" s="162" customFormat="1" spans="1:14">
      <c r="A191" s="186" t="s">
        <v>136</v>
      </c>
      <c r="B191" s="187">
        <v>20404</v>
      </c>
      <c r="C191" s="188" t="s">
        <v>260</v>
      </c>
      <c r="D191" s="189"/>
      <c r="E191" s="190">
        <f>SUM(E192:E193)</f>
        <v>0</v>
      </c>
      <c r="F191" s="189">
        <f>SUM(F192:F193)</f>
        <v>60</v>
      </c>
      <c r="G191" s="191"/>
      <c r="H191" s="189">
        <f>SUM(H192:H193)</f>
        <v>208</v>
      </c>
      <c r="I191" s="189">
        <f t="shared" si="28"/>
        <v>-148</v>
      </c>
      <c r="J191" s="218">
        <f t="shared" si="29"/>
        <v>-71.1538461538462</v>
      </c>
      <c r="K191" s="189"/>
      <c r="L191" s="189"/>
      <c r="M191" s="191"/>
      <c r="N191" s="219"/>
    </row>
    <row r="192" spans="1:14">
      <c r="A192" s="198" t="s">
        <v>138</v>
      </c>
      <c r="B192" s="199">
        <v>2040401</v>
      </c>
      <c r="C192" s="199" t="s">
        <v>139</v>
      </c>
      <c r="D192" s="200"/>
      <c r="E192" s="195"/>
      <c r="F192" s="201">
        <v>13</v>
      </c>
      <c r="G192" s="197"/>
      <c r="H192" s="201">
        <v>193</v>
      </c>
      <c r="I192" s="200">
        <f t="shared" si="28"/>
        <v>-180</v>
      </c>
      <c r="J192" s="222">
        <f t="shared" si="29"/>
        <v>-93.2642487046632</v>
      </c>
      <c r="K192" s="200"/>
      <c r="L192" s="200"/>
      <c r="M192" s="221"/>
      <c r="N192" s="200"/>
    </row>
    <row r="193" spans="1:14">
      <c r="A193" s="198" t="s">
        <v>138</v>
      </c>
      <c r="B193" s="199">
        <v>2040499</v>
      </c>
      <c r="C193" s="199" t="s">
        <v>261</v>
      </c>
      <c r="D193" s="200"/>
      <c r="E193" s="195"/>
      <c r="F193" s="201">
        <v>47</v>
      </c>
      <c r="G193" s="197"/>
      <c r="H193" s="201">
        <v>15</v>
      </c>
      <c r="I193" s="200">
        <f t="shared" si="28"/>
        <v>32</v>
      </c>
      <c r="J193" s="222">
        <f t="shared" si="29"/>
        <v>213.333333333333</v>
      </c>
      <c r="K193" s="200"/>
      <c r="L193" s="200"/>
      <c r="M193" s="221"/>
      <c r="N193" s="200"/>
    </row>
    <row r="194" s="162" customFormat="1" spans="1:14">
      <c r="A194" s="186" t="s">
        <v>136</v>
      </c>
      <c r="B194" s="187">
        <v>20405</v>
      </c>
      <c r="C194" s="188" t="s">
        <v>262</v>
      </c>
      <c r="D194" s="189"/>
      <c r="E194" s="190">
        <f t="shared" ref="E194:H194" si="30">SUM(E195:E202)</f>
        <v>0</v>
      </c>
      <c r="F194" s="189">
        <f t="shared" si="30"/>
        <v>105</v>
      </c>
      <c r="G194" s="191"/>
      <c r="H194" s="189">
        <f t="shared" si="30"/>
        <v>678</v>
      </c>
      <c r="I194" s="189">
        <f t="shared" si="28"/>
        <v>-573</v>
      </c>
      <c r="J194" s="218">
        <f t="shared" si="29"/>
        <v>-84.5132743362832</v>
      </c>
      <c r="K194" s="189"/>
      <c r="L194" s="189"/>
      <c r="M194" s="191"/>
      <c r="N194" s="219"/>
    </row>
    <row r="195" spans="1:14">
      <c r="A195" s="198" t="s">
        <v>138</v>
      </c>
      <c r="B195" s="199">
        <v>2040501</v>
      </c>
      <c r="C195" s="199" t="s">
        <v>139</v>
      </c>
      <c r="D195" s="200"/>
      <c r="E195" s="195"/>
      <c r="F195" s="201">
        <v>105</v>
      </c>
      <c r="G195" s="197"/>
      <c r="H195" s="201">
        <v>309</v>
      </c>
      <c r="I195" s="200">
        <f t="shared" si="28"/>
        <v>-204</v>
      </c>
      <c r="J195" s="222">
        <f t="shared" si="29"/>
        <v>-66.0194174757282</v>
      </c>
      <c r="K195" s="200"/>
      <c r="L195" s="200"/>
      <c r="M195" s="221"/>
      <c r="N195" s="200"/>
    </row>
    <row r="196" spans="1:14">
      <c r="A196" s="198" t="s">
        <v>138</v>
      </c>
      <c r="B196" s="199">
        <v>2040502</v>
      </c>
      <c r="C196" s="199" t="s">
        <v>140</v>
      </c>
      <c r="D196" s="200"/>
      <c r="E196" s="195"/>
      <c r="F196" s="201"/>
      <c r="G196" s="197"/>
      <c r="H196" s="201">
        <v>25</v>
      </c>
      <c r="I196" s="200">
        <f t="shared" si="28"/>
        <v>-25</v>
      </c>
      <c r="J196" s="222">
        <f t="shared" si="29"/>
        <v>-100</v>
      </c>
      <c r="K196" s="200"/>
      <c r="L196" s="200"/>
      <c r="M196" s="221"/>
      <c r="N196" s="200"/>
    </row>
    <row r="197" spans="1:14">
      <c r="A197" s="198" t="s">
        <v>138</v>
      </c>
      <c r="B197" s="199">
        <v>2040503</v>
      </c>
      <c r="C197" s="199" t="s">
        <v>141</v>
      </c>
      <c r="D197" s="200"/>
      <c r="E197" s="195"/>
      <c r="F197" s="201"/>
      <c r="G197" s="197"/>
      <c r="H197" s="201"/>
      <c r="I197" s="200"/>
      <c r="J197" s="222"/>
      <c r="K197" s="200"/>
      <c r="L197" s="200"/>
      <c r="M197" s="221"/>
      <c r="N197" s="200"/>
    </row>
    <row r="198" spans="1:14">
      <c r="A198" s="198" t="s">
        <v>138</v>
      </c>
      <c r="B198" s="199">
        <v>2040504</v>
      </c>
      <c r="C198" s="199" t="s">
        <v>263</v>
      </c>
      <c r="D198" s="200"/>
      <c r="E198" s="195"/>
      <c r="F198" s="201"/>
      <c r="G198" s="197"/>
      <c r="H198" s="201"/>
      <c r="I198" s="200"/>
      <c r="J198" s="222"/>
      <c r="K198" s="200"/>
      <c r="L198" s="200"/>
      <c r="M198" s="221"/>
      <c r="N198" s="200"/>
    </row>
    <row r="199" spans="1:14">
      <c r="A199" s="198" t="s">
        <v>138</v>
      </c>
      <c r="B199" s="199">
        <v>2040505</v>
      </c>
      <c r="C199" s="199" t="s">
        <v>264</v>
      </c>
      <c r="D199" s="200"/>
      <c r="E199" s="195"/>
      <c r="F199" s="201"/>
      <c r="G199" s="197"/>
      <c r="H199" s="201"/>
      <c r="I199" s="200"/>
      <c r="J199" s="222"/>
      <c r="K199" s="200"/>
      <c r="L199" s="200"/>
      <c r="M199" s="221"/>
      <c r="N199" s="200"/>
    </row>
    <row r="200" spans="1:14">
      <c r="A200" s="198" t="s">
        <v>138</v>
      </c>
      <c r="B200" s="199">
        <v>2040506</v>
      </c>
      <c r="C200" s="199" t="s">
        <v>265</v>
      </c>
      <c r="D200" s="200"/>
      <c r="E200" s="195"/>
      <c r="F200" s="201"/>
      <c r="G200" s="197"/>
      <c r="H200" s="201"/>
      <c r="I200" s="200"/>
      <c r="J200" s="222"/>
      <c r="K200" s="200"/>
      <c r="L200" s="200"/>
      <c r="M200" s="221"/>
      <c r="N200" s="200"/>
    </row>
    <row r="201" spans="1:14">
      <c r="A201" s="198" t="s">
        <v>138</v>
      </c>
      <c r="B201" s="199">
        <v>2040550</v>
      </c>
      <c r="C201" s="199" t="s">
        <v>148</v>
      </c>
      <c r="D201" s="200"/>
      <c r="E201" s="195"/>
      <c r="F201" s="201"/>
      <c r="G201" s="197"/>
      <c r="H201" s="201"/>
      <c r="I201" s="200"/>
      <c r="J201" s="222"/>
      <c r="K201" s="200"/>
      <c r="L201" s="200"/>
      <c r="M201" s="221"/>
      <c r="N201" s="200"/>
    </row>
    <row r="202" spans="1:14">
      <c r="A202" s="198" t="s">
        <v>138</v>
      </c>
      <c r="B202" s="199">
        <v>2040599</v>
      </c>
      <c r="C202" s="199" t="s">
        <v>266</v>
      </c>
      <c r="D202" s="200"/>
      <c r="E202" s="195"/>
      <c r="F202" s="201"/>
      <c r="G202" s="197"/>
      <c r="H202" s="201">
        <v>344</v>
      </c>
      <c r="I202" s="200">
        <f>F202-H202</f>
        <v>-344</v>
      </c>
      <c r="J202" s="222">
        <f>I202/H202*100</f>
        <v>-100</v>
      </c>
      <c r="K202" s="200"/>
      <c r="L202" s="200"/>
      <c r="M202" s="221"/>
      <c r="N202" s="200"/>
    </row>
    <row r="203" s="162" customFormat="1" spans="1:14">
      <c r="A203" s="186" t="s">
        <v>136</v>
      </c>
      <c r="B203" s="187">
        <v>20406</v>
      </c>
      <c r="C203" s="188" t="s">
        <v>267</v>
      </c>
      <c r="D203" s="189">
        <f>SUM(D204:D216)</f>
        <v>67</v>
      </c>
      <c r="E203" s="190">
        <f t="shared" ref="E203:H203" si="31">SUM(E204:E216)</f>
        <v>86</v>
      </c>
      <c r="F203" s="189">
        <f t="shared" si="31"/>
        <v>152</v>
      </c>
      <c r="G203" s="191">
        <f t="shared" ref="G200:G263" si="32">F203/D203*100</f>
        <v>226.865671641791</v>
      </c>
      <c r="H203" s="189">
        <f t="shared" si="31"/>
        <v>283</v>
      </c>
      <c r="I203" s="189">
        <f>F203-H203</f>
        <v>-131</v>
      </c>
      <c r="J203" s="218">
        <f>I203/H203*100</f>
        <v>-46.2897526501767</v>
      </c>
      <c r="K203" s="189">
        <f>SUM(K204:K216)</f>
        <v>104</v>
      </c>
      <c r="L203" s="189">
        <f>K203-D203</f>
        <v>37</v>
      </c>
      <c r="M203" s="191">
        <f>L203/D203*100</f>
        <v>55.2238805970149</v>
      </c>
      <c r="N203" s="219"/>
    </row>
    <row r="204" s="163" customFormat="1" spans="1:14">
      <c r="A204" s="192" t="s">
        <v>138</v>
      </c>
      <c r="B204" s="193">
        <v>2040601</v>
      </c>
      <c r="C204" s="193" t="s">
        <v>139</v>
      </c>
      <c r="D204" s="202">
        <v>67</v>
      </c>
      <c r="E204" s="195">
        <v>84</v>
      </c>
      <c r="F204" s="196">
        <v>86</v>
      </c>
      <c r="G204" s="197">
        <f t="shared" si="32"/>
        <v>128.358208955224</v>
      </c>
      <c r="H204" s="196">
        <v>70</v>
      </c>
      <c r="I204" s="202">
        <f>F204-H204</f>
        <v>16</v>
      </c>
      <c r="J204" s="220">
        <f>I204/H204*100</f>
        <v>22.8571428571429</v>
      </c>
      <c r="K204" s="202">
        <v>92</v>
      </c>
      <c r="L204" s="202">
        <f>K204-D204</f>
        <v>25</v>
      </c>
      <c r="M204" s="221">
        <f>L204/D204*100</f>
        <v>37.3134328358209</v>
      </c>
      <c r="N204" s="202"/>
    </row>
    <row r="205" spans="1:14">
      <c r="A205" s="198" t="s">
        <v>138</v>
      </c>
      <c r="B205" s="199">
        <v>2040602</v>
      </c>
      <c r="C205" s="199" t="s">
        <v>140</v>
      </c>
      <c r="D205" s="200"/>
      <c r="E205" s="195"/>
      <c r="F205" s="201"/>
      <c r="G205" s="197"/>
      <c r="H205" s="201"/>
      <c r="I205" s="200"/>
      <c r="J205" s="222"/>
      <c r="K205" s="200"/>
      <c r="L205" s="200"/>
      <c r="M205" s="221"/>
      <c r="N205" s="200"/>
    </row>
    <row r="206" spans="1:14">
      <c r="A206" s="198" t="s">
        <v>138</v>
      </c>
      <c r="B206" s="199">
        <v>2040603</v>
      </c>
      <c r="C206" s="199" t="s">
        <v>141</v>
      </c>
      <c r="D206" s="200"/>
      <c r="E206" s="195"/>
      <c r="F206" s="201"/>
      <c r="G206" s="197"/>
      <c r="H206" s="201"/>
      <c r="I206" s="200"/>
      <c r="J206" s="222"/>
      <c r="K206" s="200"/>
      <c r="L206" s="200"/>
      <c r="M206" s="221"/>
      <c r="N206" s="200"/>
    </row>
    <row r="207" spans="1:14">
      <c r="A207" s="198" t="s">
        <v>138</v>
      </c>
      <c r="B207" s="199">
        <v>2040604</v>
      </c>
      <c r="C207" s="199" t="s">
        <v>268</v>
      </c>
      <c r="D207" s="200"/>
      <c r="E207" s="195"/>
      <c r="F207" s="201">
        <v>14</v>
      </c>
      <c r="G207" s="197"/>
      <c r="H207" s="201">
        <v>6</v>
      </c>
      <c r="I207" s="200">
        <f>F207-H207</f>
        <v>8</v>
      </c>
      <c r="J207" s="222">
        <f>I207/H207*100</f>
        <v>133.333333333333</v>
      </c>
      <c r="K207" s="200"/>
      <c r="L207" s="200"/>
      <c r="M207" s="221"/>
      <c r="N207" s="200"/>
    </row>
    <row r="208" spans="1:14">
      <c r="A208" s="198" t="s">
        <v>138</v>
      </c>
      <c r="B208" s="199">
        <v>2040605</v>
      </c>
      <c r="C208" s="199" t="s">
        <v>269</v>
      </c>
      <c r="D208" s="200"/>
      <c r="E208" s="195"/>
      <c r="F208" s="201"/>
      <c r="G208" s="197"/>
      <c r="H208" s="201">
        <v>44</v>
      </c>
      <c r="I208" s="200">
        <f>F208-H208</f>
        <v>-44</v>
      </c>
      <c r="J208" s="222">
        <f>I208/H208*100</f>
        <v>-100</v>
      </c>
      <c r="K208" s="200"/>
      <c r="L208" s="200"/>
      <c r="M208" s="221"/>
      <c r="N208" s="200"/>
    </row>
    <row r="209" spans="1:14">
      <c r="A209" s="198" t="s">
        <v>138</v>
      </c>
      <c r="B209" s="199">
        <v>2040606</v>
      </c>
      <c r="C209" s="199" t="s">
        <v>270</v>
      </c>
      <c r="D209" s="200"/>
      <c r="E209" s="195"/>
      <c r="F209" s="201"/>
      <c r="G209" s="197"/>
      <c r="H209" s="201"/>
      <c r="I209" s="200"/>
      <c r="J209" s="222"/>
      <c r="K209" s="200"/>
      <c r="L209" s="200"/>
      <c r="M209" s="221"/>
      <c r="N209" s="200"/>
    </row>
    <row r="210" spans="1:14">
      <c r="A210" s="198" t="s">
        <v>138</v>
      </c>
      <c r="B210" s="199">
        <v>2040607</v>
      </c>
      <c r="C210" s="199" t="s">
        <v>271</v>
      </c>
      <c r="D210" s="200"/>
      <c r="E210" s="195"/>
      <c r="F210" s="201">
        <v>1</v>
      </c>
      <c r="G210" s="197"/>
      <c r="H210" s="201"/>
      <c r="I210" s="200">
        <f>F210-H210</f>
        <v>1</v>
      </c>
      <c r="J210" s="222"/>
      <c r="K210" s="200"/>
      <c r="L210" s="200"/>
      <c r="M210" s="221"/>
      <c r="N210" s="200"/>
    </row>
    <row r="211" spans="1:14">
      <c r="A211" s="198" t="s">
        <v>138</v>
      </c>
      <c r="B211" s="199">
        <v>2040608</v>
      </c>
      <c r="C211" s="199" t="s">
        <v>272</v>
      </c>
      <c r="D211" s="200"/>
      <c r="E211" s="195"/>
      <c r="F211" s="201"/>
      <c r="G211" s="197"/>
      <c r="H211" s="201"/>
      <c r="I211" s="200"/>
      <c r="J211" s="222"/>
      <c r="K211" s="200"/>
      <c r="L211" s="200"/>
      <c r="M211" s="221"/>
      <c r="N211" s="200"/>
    </row>
    <row r="212" spans="1:14">
      <c r="A212" s="198" t="s">
        <v>138</v>
      </c>
      <c r="B212" s="199">
        <v>2040610</v>
      </c>
      <c r="C212" s="199" t="s">
        <v>273</v>
      </c>
      <c r="D212" s="200"/>
      <c r="E212" s="195"/>
      <c r="F212" s="201">
        <v>5</v>
      </c>
      <c r="G212" s="197"/>
      <c r="H212" s="201">
        <v>7</v>
      </c>
      <c r="I212" s="200">
        <f>F212-H212</f>
        <v>-2</v>
      </c>
      <c r="J212" s="222">
        <f>I212/H212*100</f>
        <v>-28.5714285714286</v>
      </c>
      <c r="K212" s="200">
        <v>12</v>
      </c>
      <c r="L212" s="200">
        <f>K212-D212</f>
        <v>12</v>
      </c>
      <c r="M212" s="221"/>
      <c r="N212" s="200"/>
    </row>
    <row r="213" spans="1:14">
      <c r="A213" s="198" t="s">
        <v>138</v>
      </c>
      <c r="B213" s="199">
        <v>2040612</v>
      </c>
      <c r="C213" s="199" t="s">
        <v>274</v>
      </c>
      <c r="D213" s="200"/>
      <c r="E213" s="195"/>
      <c r="F213" s="201"/>
      <c r="G213" s="197"/>
      <c r="H213" s="201">
        <v>5</v>
      </c>
      <c r="I213" s="200">
        <f>F213-H213</f>
        <v>-5</v>
      </c>
      <c r="J213" s="222">
        <f>I213/H213*100</f>
        <v>-100</v>
      </c>
      <c r="K213" s="200"/>
      <c r="L213" s="200"/>
      <c r="M213" s="221"/>
      <c r="N213" s="200"/>
    </row>
    <row r="214" spans="1:14">
      <c r="A214" s="198" t="s">
        <v>138</v>
      </c>
      <c r="B214" s="199">
        <v>2040613</v>
      </c>
      <c r="C214" s="199" t="s">
        <v>161</v>
      </c>
      <c r="D214" s="200"/>
      <c r="E214" s="195"/>
      <c r="F214" s="201">
        <v>14</v>
      </c>
      <c r="G214" s="197"/>
      <c r="H214" s="201"/>
      <c r="I214" s="200">
        <f>F214-H214</f>
        <v>14</v>
      </c>
      <c r="J214" s="222"/>
      <c r="K214" s="200"/>
      <c r="L214" s="200"/>
      <c r="M214" s="221"/>
      <c r="N214" s="200"/>
    </row>
    <row r="215" spans="1:14">
      <c r="A215" s="198" t="s">
        <v>138</v>
      </c>
      <c r="B215" s="199">
        <v>2040650</v>
      </c>
      <c r="C215" s="199" t="s">
        <v>148</v>
      </c>
      <c r="D215" s="200"/>
      <c r="E215" s="195"/>
      <c r="F215" s="201"/>
      <c r="G215" s="197"/>
      <c r="H215" s="201"/>
      <c r="I215" s="200"/>
      <c r="J215" s="222"/>
      <c r="K215" s="200"/>
      <c r="L215" s="200"/>
      <c r="M215" s="221"/>
      <c r="N215" s="200"/>
    </row>
    <row r="216" spans="1:14">
      <c r="A216" s="198" t="s">
        <v>138</v>
      </c>
      <c r="B216" s="199">
        <v>2040699</v>
      </c>
      <c r="C216" s="199" t="s">
        <v>275</v>
      </c>
      <c r="D216" s="200"/>
      <c r="E216" s="195">
        <v>2</v>
      </c>
      <c r="F216" s="201">
        <v>32</v>
      </c>
      <c r="G216" s="197"/>
      <c r="H216" s="201">
        <v>151</v>
      </c>
      <c r="I216" s="200">
        <f>F216-H216</f>
        <v>-119</v>
      </c>
      <c r="J216" s="222">
        <f>I216/H216*100</f>
        <v>-78.8079470198676</v>
      </c>
      <c r="K216" s="200"/>
      <c r="L216" s="200"/>
      <c r="M216" s="221"/>
      <c r="N216" s="200"/>
    </row>
    <row r="217" s="162" customFormat="1" spans="1:14">
      <c r="A217" s="186" t="s">
        <v>136</v>
      </c>
      <c r="B217" s="187">
        <v>20407</v>
      </c>
      <c r="C217" s="188" t="s">
        <v>276</v>
      </c>
      <c r="D217" s="189"/>
      <c r="E217" s="190">
        <f>SUM(E218:E218)</f>
        <v>0</v>
      </c>
      <c r="F217" s="189"/>
      <c r="G217" s="191"/>
      <c r="H217" s="189"/>
      <c r="I217" s="189"/>
      <c r="J217" s="218"/>
      <c r="K217" s="189"/>
      <c r="L217" s="189"/>
      <c r="M217" s="191"/>
      <c r="N217" s="219"/>
    </row>
    <row r="218" spans="1:14">
      <c r="A218" s="198" t="s">
        <v>138</v>
      </c>
      <c r="B218" s="199">
        <v>2040799</v>
      </c>
      <c r="C218" s="199" t="s">
        <v>277</v>
      </c>
      <c r="D218" s="200"/>
      <c r="E218" s="195"/>
      <c r="F218" s="201"/>
      <c r="G218" s="197"/>
      <c r="H218" s="201"/>
      <c r="I218" s="200"/>
      <c r="J218" s="222"/>
      <c r="K218" s="200"/>
      <c r="L218" s="200"/>
      <c r="M218" s="221"/>
      <c r="N218" s="200"/>
    </row>
    <row r="219" s="162" customFormat="1" spans="1:14">
      <c r="A219" s="186" t="s">
        <v>136</v>
      </c>
      <c r="B219" s="187">
        <v>20408</v>
      </c>
      <c r="C219" s="188" t="s">
        <v>278</v>
      </c>
      <c r="D219" s="189"/>
      <c r="E219" s="190">
        <f>SUM(E220:E220)</f>
        <v>0</v>
      </c>
      <c r="F219" s="189"/>
      <c r="G219" s="191"/>
      <c r="H219" s="189"/>
      <c r="I219" s="189"/>
      <c r="J219" s="218"/>
      <c r="K219" s="189"/>
      <c r="L219" s="189"/>
      <c r="M219" s="191"/>
      <c r="N219" s="219"/>
    </row>
    <row r="220" spans="1:14">
      <c r="A220" s="198" t="s">
        <v>138</v>
      </c>
      <c r="B220" s="199">
        <v>2040899</v>
      </c>
      <c r="C220" s="199" t="s">
        <v>279</v>
      </c>
      <c r="D220" s="200"/>
      <c r="E220" s="195"/>
      <c r="F220" s="201"/>
      <c r="G220" s="197"/>
      <c r="H220" s="201"/>
      <c r="I220" s="200"/>
      <c r="J220" s="222"/>
      <c r="K220" s="200"/>
      <c r="L220" s="200"/>
      <c r="M220" s="221"/>
      <c r="N220" s="200"/>
    </row>
    <row r="221" s="162" customFormat="1" spans="1:14">
      <c r="A221" s="186" t="s">
        <v>136</v>
      </c>
      <c r="B221" s="187">
        <v>20409</v>
      </c>
      <c r="C221" s="188" t="s">
        <v>280</v>
      </c>
      <c r="D221" s="189"/>
      <c r="E221" s="190">
        <f>SUM(E222:E222)</f>
        <v>0</v>
      </c>
      <c r="F221" s="189"/>
      <c r="G221" s="191"/>
      <c r="H221" s="189"/>
      <c r="I221" s="189"/>
      <c r="J221" s="218"/>
      <c r="K221" s="189"/>
      <c r="L221" s="189"/>
      <c r="M221" s="191"/>
      <c r="N221" s="219"/>
    </row>
    <row r="222" spans="1:14">
      <c r="A222" s="198" t="s">
        <v>138</v>
      </c>
      <c r="B222" s="199">
        <v>2040999</v>
      </c>
      <c r="C222" s="199" t="s">
        <v>281</v>
      </c>
      <c r="D222" s="200"/>
      <c r="E222" s="195"/>
      <c r="F222" s="201"/>
      <c r="G222" s="197"/>
      <c r="H222" s="201"/>
      <c r="I222" s="200"/>
      <c r="J222" s="222"/>
      <c r="K222" s="200"/>
      <c r="L222" s="200"/>
      <c r="M222" s="221"/>
      <c r="N222" s="200"/>
    </row>
    <row r="223" s="162" customFormat="1" spans="1:14">
      <c r="A223" s="186" t="s">
        <v>136</v>
      </c>
      <c r="B223" s="187">
        <v>20410</v>
      </c>
      <c r="C223" s="188" t="s">
        <v>282</v>
      </c>
      <c r="D223" s="189"/>
      <c r="E223" s="190">
        <f>SUM(E224:E224)</f>
        <v>0</v>
      </c>
      <c r="F223" s="189"/>
      <c r="G223" s="191"/>
      <c r="H223" s="189"/>
      <c r="I223" s="189"/>
      <c r="J223" s="218"/>
      <c r="K223" s="189"/>
      <c r="L223" s="189"/>
      <c r="M223" s="191"/>
      <c r="N223" s="219"/>
    </row>
    <row r="224" spans="1:14">
      <c r="A224" s="198" t="s">
        <v>138</v>
      </c>
      <c r="B224" s="199">
        <v>2041099</v>
      </c>
      <c r="C224" s="199" t="s">
        <v>283</v>
      </c>
      <c r="D224" s="200"/>
      <c r="E224" s="195"/>
      <c r="F224" s="201"/>
      <c r="G224" s="197"/>
      <c r="H224" s="201"/>
      <c r="I224" s="200"/>
      <c r="J224" s="222"/>
      <c r="K224" s="200"/>
      <c r="L224" s="200"/>
      <c r="M224" s="221"/>
      <c r="N224" s="200"/>
    </row>
    <row r="225" s="162" customFormat="1" spans="1:14">
      <c r="A225" s="186" t="s">
        <v>136</v>
      </c>
      <c r="B225" s="187">
        <v>20499</v>
      </c>
      <c r="C225" s="188" t="s">
        <v>284</v>
      </c>
      <c r="D225" s="189"/>
      <c r="E225" s="190">
        <f t="shared" ref="E225:H225" si="33">E226+E227</f>
        <v>47</v>
      </c>
      <c r="F225" s="189"/>
      <c r="G225" s="191"/>
      <c r="H225" s="189">
        <f t="shared" si="33"/>
        <v>28</v>
      </c>
      <c r="I225" s="189">
        <f>F225-H225</f>
        <v>-28</v>
      </c>
      <c r="J225" s="218">
        <f>I225/H225*100</f>
        <v>-100</v>
      </c>
      <c r="K225" s="189"/>
      <c r="L225" s="189"/>
      <c r="M225" s="191"/>
      <c r="N225" s="219"/>
    </row>
    <row r="226" spans="1:14">
      <c r="A226" s="198" t="s">
        <v>138</v>
      </c>
      <c r="B226" s="199">
        <v>2049902</v>
      </c>
      <c r="C226" s="199" t="s">
        <v>285</v>
      </c>
      <c r="D226" s="200"/>
      <c r="E226" s="195"/>
      <c r="F226" s="201"/>
      <c r="G226" s="197"/>
      <c r="H226" s="201"/>
      <c r="I226" s="200"/>
      <c r="J226" s="222"/>
      <c r="K226" s="200"/>
      <c r="L226" s="200"/>
      <c r="M226" s="221"/>
      <c r="N226" s="200"/>
    </row>
    <row r="227" spans="1:14">
      <c r="A227" s="198" t="s">
        <v>138</v>
      </c>
      <c r="B227" s="199">
        <v>2049999</v>
      </c>
      <c r="C227" s="199" t="s">
        <v>286</v>
      </c>
      <c r="D227" s="200"/>
      <c r="E227" s="195">
        <v>47</v>
      </c>
      <c r="F227" s="201"/>
      <c r="G227" s="197"/>
      <c r="H227" s="201">
        <v>28</v>
      </c>
      <c r="I227" s="200">
        <f>F227-H227</f>
        <v>-28</v>
      </c>
      <c r="J227" s="222">
        <f>I227/H227*100</f>
        <v>-100</v>
      </c>
      <c r="K227" s="200"/>
      <c r="L227" s="200"/>
      <c r="M227" s="221"/>
      <c r="N227" s="200"/>
    </row>
    <row r="228" s="161" customFormat="1" spans="1:14">
      <c r="A228" s="181" t="s">
        <v>134</v>
      </c>
      <c r="B228" s="182">
        <v>205</v>
      </c>
      <c r="C228" s="182" t="s">
        <v>287</v>
      </c>
      <c r="D228" s="183">
        <f>D229+D234+D241+D243+D245+D247+D249+D251+D253+D257</f>
        <v>8202</v>
      </c>
      <c r="E228" s="184">
        <f t="shared" ref="E228:K228" si="34">E229+E234+E241+E243+E245+E247+E249+E251+E253+E257</f>
        <v>9158</v>
      </c>
      <c r="F228" s="183">
        <f t="shared" si="34"/>
        <v>10421</v>
      </c>
      <c r="G228" s="185">
        <f t="shared" si="32"/>
        <v>127.054376981224</v>
      </c>
      <c r="H228" s="183">
        <f>H229+H234+H241+H243+H245+H247+H249+H251+H253+H257</f>
        <v>11219</v>
      </c>
      <c r="I228" s="183">
        <f>F228-H228</f>
        <v>-798</v>
      </c>
      <c r="J228" s="215">
        <f>I228/H228*100</f>
        <v>-7.11293341652554</v>
      </c>
      <c r="K228" s="183">
        <f t="shared" si="34"/>
        <v>8263</v>
      </c>
      <c r="L228" s="216">
        <f>K228-D228</f>
        <v>61</v>
      </c>
      <c r="M228" s="217">
        <f>L228/D228*100</f>
        <v>0.743721043647891</v>
      </c>
      <c r="N228" s="216"/>
    </row>
    <row r="229" s="162" customFormat="1" spans="1:14">
      <c r="A229" s="186" t="s">
        <v>136</v>
      </c>
      <c r="B229" s="187">
        <v>20501</v>
      </c>
      <c r="C229" s="188" t="s">
        <v>288</v>
      </c>
      <c r="D229" s="189">
        <f>SUM(D230:D233)</f>
        <v>1135</v>
      </c>
      <c r="E229" s="190">
        <f t="shared" ref="E229:H229" si="35">SUM(E230:E233)</f>
        <v>1197</v>
      </c>
      <c r="F229" s="189">
        <f t="shared" si="35"/>
        <v>755</v>
      </c>
      <c r="G229" s="191">
        <f t="shared" si="32"/>
        <v>66.5198237885462</v>
      </c>
      <c r="H229" s="189">
        <f t="shared" si="35"/>
        <v>1847</v>
      </c>
      <c r="I229" s="189">
        <f>F229-H229</f>
        <v>-1092</v>
      </c>
      <c r="J229" s="218">
        <f>I229/H229*100</f>
        <v>-59.1229020032485</v>
      </c>
      <c r="K229" s="189">
        <f>SUM(K230:K233)</f>
        <v>458</v>
      </c>
      <c r="L229" s="189">
        <f>K229-D229</f>
        <v>-677</v>
      </c>
      <c r="M229" s="191">
        <f>L229/D229*100</f>
        <v>-59.647577092511</v>
      </c>
      <c r="N229" s="219"/>
    </row>
    <row r="230" s="163" customFormat="1" spans="1:14">
      <c r="A230" s="192" t="s">
        <v>138</v>
      </c>
      <c r="B230" s="193">
        <v>2050101</v>
      </c>
      <c r="C230" s="193" t="s">
        <v>139</v>
      </c>
      <c r="D230" s="202">
        <v>135</v>
      </c>
      <c r="E230" s="195">
        <v>197</v>
      </c>
      <c r="F230" s="196">
        <v>143</v>
      </c>
      <c r="G230" s="197">
        <f t="shared" si="32"/>
        <v>105.925925925926</v>
      </c>
      <c r="H230" s="196">
        <v>184</v>
      </c>
      <c r="I230" s="202">
        <f>F230-H230</f>
        <v>-41</v>
      </c>
      <c r="J230" s="220">
        <f>I230/H230*100</f>
        <v>-22.2826086956522</v>
      </c>
      <c r="K230" s="202">
        <v>12</v>
      </c>
      <c r="L230" s="202">
        <f>K230-D230</f>
        <v>-123</v>
      </c>
      <c r="M230" s="221">
        <f>L230/D230*100</f>
        <v>-91.1111111111111</v>
      </c>
      <c r="N230" s="202"/>
    </row>
    <row r="231" spans="1:14">
      <c r="A231" s="198" t="s">
        <v>138</v>
      </c>
      <c r="B231" s="199">
        <v>2050102</v>
      </c>
      <c r="C231" s="199" t="s">
        <v>140</v>
      </c>
      <c r="D231" s="200"/>
      <c r="E231" s="195"/>
      <c r="F231" s="201"/>
      <c r="G231" s="197"/>
      <c r="H231" s="201"/>
      <c r="I231" s="200"/>
      <c r="J231" s="222"/>
      <c r="K231" s="200"/>
      <c r="L231" s="200"/>
      <c r="M231" s="221"/>
      <c r="N231" s="200"/>
    </row>
    <row r="232" spans="1:14">
      <c r="A232" s="198" t="s">
        <v>138</v>
      </c>
      <c r="B232" s="199">
        <v>2050103</v>
      </c>
      <c r="C232" s="199" t="s">
        <v>141</v>
      </c>
      <c r="D232" s="200"/>
      <c r="E232" s="195"/>
      <c r="F232" s="201">
        <v>305</v>
      </c>
      <c r="G232" s="197"/>
      <c r="H232" s="201">
        <v>589</v>
      </c>
      <c r="I232" s="200">
        <f t="shared" ref="I232:I237" si="36">F232-H232</f>
        <v>-284</v>
      </c>
      <c r="J232" s="222">
        <f t="shared" ref="J232:J237" si="37">I232/H232*100</f>
        <v>-48.2173174872666</v>
      </c>
      <c r="K232" s="200">
        <v>446</v>
      </c>
      <c r="L232" s="200">
        <f t="shared" ref="L232:L237" si="38">K232-D232</f>
        <v>446</v>
      </c>
      <c r="M232" s="221"/>
      <c r="N232" s="200"/>
    </row>
    <row r="233" s="163" customFormat="1" spans="1:14">
      <c r="A233" s="192" t="s">
        <v>138</v>
      </c>
      <c r="B233" s="193">
        <v>2050199</v>
      </c>
      <c r="C233" s="193" t="s">
        <v>289</v>
      </c>
      <c r="D233" s="202">
        <v>1000</v>
      </c>
      <c r="E233" s="195">
        <v>1000</v>
      </c>
      <c r="F233" s="196">
        <v>307</v>
      </c>
      <c r="G233" s="197">
        <f t="shared" si="32"/>
        <v>30.7</v>
      </c>
      <c r="H233" s="196">
        <v>1074</v>
      </c>
      <c r="I233" s="202">
        <f t="shared" si="36"/>
        <v>-767</v>
      </c>
      <c r="J233" s="220">
        <f t="shared" si="37"/>
        <v>-71.415270018622</v>
      </c>
      <c r="K233" s="202"/>
      <c r="L233" s="202">
        <f t="shared" si="38"/>
        <v>-1000</v>
      </c>
      <c r="M233" s="221">
        <f>L233/D233*100</f>
        <v>-100</v>
      </c>
      <c r="N233" s="202"/>
    </row>
    <row r="234" s="162" customFormat="1" spans="1:14">
      <c r="A234" s="186" t="s">
        <v>136</v>
      </c>
      <c r="B234" s="187">
        <v>20502</v>
      </c>
      <c r="C234" s="188" t="s">
        <v>290</v>
      </c>
      <c r="D234" s="189">
        <f>SUM(D235:D240)</f>
        <v>7054</v>
      </c>
      <c r="E234" s="190">
        <f t="shared" ref="E234:H234" si="39">SUM(E235:E240)</f>
        <v>7905</v>
      </c>
      <c r="F234" s="189">
        <f t="shared" si="39"/>
        <v>8532</v>
      </c>
      <c r="G234" s="191">
        <f t="shared" si="32"/>
        <v>120.952650978168</v>
      </c>
      <c r="H234" s="189">
        <f t="shared" si="39"/>
        <v>8146</v>
      </c>
      <c r="I234" s="189">
        <f t="shared" si="36"/>
        <v>386</v>
      </c>
      <c r="J234" s="218">
        <f t="shared" si="37"/>
        <v>4.73852197397496</v>
      </c>
      <c r="K234" s="189">
        <f>SUM(K235:K240)</f>
        <v>7805</v>
      </c>
      <c r="L234" s="189">
        <f t="shared" si="38"/>
        <v>751</v>
      </c>
      <c r="M234" s="191">
        <f>L234/D234*100</f>
        <v>10.6464417351857</v>
      </c>
      <c r="N234" s="219"/>
    </row>
    <row r="235" s="163" customFormat="1" spans="1:14">
      <c r="A235" s="192" t="s">
        <v>138</v>
      </c>
      <c r="B235" s="193">
        <v>2050201</v>
      </c>
      <c r="C235" s="193" t="s">
        <v>291</v>
      </c>
      <c r="D235" s="202">
        <f>200+314</f>
        <v>514</v>
      </c>
      <c r="E235" s="195">
        <v>567</v>
      </c>
      <c r="F235" s="196">
        <v>405</v>
      </c>
      <c r="G235" s="197">
        <f t="shared" si="32"/>
        <v>78.7937743190661</v>
      </c>
      <c r="H235" s="196">
        <v>413</v>
      </c>
      <c r="I235" s="202">
        <f t="shared" si="36"/>
        <v>-8</v>
      </c>
      <c r="J235" s="220">
        <f t="shared" si="37"/>
        <v>-1.93704600484262</v>
      </c>
      <c r="K235" s="202">
        <f>304+10+18+8</f>
        <v>340</v>
      </c>
      <c r="L235" s="202">
        <f t="shared" si="38"/>
        <v>-174</v>
      </c>
      <c r="M235" s="221">
        <f>L235/D235*100</f>
        <v>-33.852140077821</v>
      </c>
      <c r="N235" s="202"/>
    </row>
    <row r="236" s="163" customFormat="1" spans="1:14">
      <c r="A236" s="192" t="s">
        <v>138</v>
      </c>
      <c r="B236" s="193">
        <v>2050202</v>
      </c>
      <c r="C236" s="193" t="s">
        <v>292</v>
      </c>
      <c r="D236" s="202">
        <f>800+3431</f>
        <v>4231</v>
      </c>
      <c r="E236" s="195">
        <v>4251</v>
      </c>
      <c r="F236" s="196">
        <v>5018</v>
      </c>
      <c r="G236" s="197">
        <f t="shared" si="32"/>
        <v>118.600803592531</v>
      </c>
      <c r="H236" s="196">
        <v>4369</v>
      </c>
      <c r="I236" s="202">
        <f t="shared" si="36"/>
        <v>649</v>
      </c>
      <c r="J236" s="220">
        <f t="shared" si="37"/>
        <v>14.854657816434</v>
      </c>
      <c r="K236" s="202">
        <f>3611+6+223+447+500</f>
        <v>4787</v>
      </c>
      <c r="L236" s="202">
        <f t="shared" si="38"/>
        <v>556</v>
      </c>
      <c r="M236" s="221">
        <f>L236/D236*100</f>
        <v>13.1411013944694</v>
      </c>
      <c r="N236" s="202"/>
    </row>
    <row r="237" s="163" customFormat="1" spans="1:14">
      <c r="A237" s="192" t="s">
        <v>138</v>
      </c>
      <c r="B237" s="193">
        <v>2050203</v>
      </c>
      <c r="C237" s="193" t="s">
        <v>293</v>
      </c>
      <c r="D237" s="202">
        <v>1887</v>
      </c>
      <c r="E237" s="195">
        <v>2348</v>
      </c>
      <c r="F237" s="196">
        <v>2017</v>
      </c>
      <c r="G237" s="197">
        <f t="shared" si="32"/>
        <v>106.88924218336</v>
      </c>
      <c r="H237" s="196">
        <v>2077</v>
      </c>
      <c r="I237" s="202">
        <f t="shared" si="36"/>
        <v>-60</v>
      </c>
      <c r="J237" s="220">
        <f t="shared" si="37"/>
        <v>-2.88878189696678</v>
      </c>
      <c r="K237" s="202">
        <f>1946+7</f>
        <v>1953</v>
      </c>
      <c r="L237" s="202">
        <f t="shared" si="38"/>
        <v>66</v>
      </c>
      <c r="M237" s="221">
        <f>L237/D237*100</f>
        <v>3.49761526232114</v>
      </c>
      <c r="N237" s="202"/>
    </row>
    <row r="238" spans="1:14">
      <c r="A238" s="198" t="s">
        <v>138</v>
      </c>
      <c r="B238" s="199">
        <v>2050204</v>
      </c>
      <c r="C238" s="199" t="s">
        <v>294</v>
      </c>
      <c r="D238" s="200"/>
      <c r="E238" s="195"/>
      <c r="F238" s="201"/>
      <c r="G238" s="197"/>
      <c r="H238" s="201"/>
      <c r="I238" s="200"/>
      <c r="J238" s="222"/>
      <c r="K238" s="200"/>
      <c r="L238" s="200"/>
      <c r="M238" s="221"/>
      <c r="N238" s="200"/>
    </row>
    <row r="239" spans="1:14">
      <c r="A239" s="198" t="s">
        <v>138</v>
      </c>
      <c r="B239" s="199">
        <v>2050205</v>
      </c>
      <c r="C239" s="199" t="s">
        <v>295</v>
      </c>
      <c r="D239" s="200"/>
      <c r="E239" s="195"/>
      <c r="F239" s="201"/>
      <c r="G239" s="197"/>
      <c r="H239" s="201"/>
      <c r="I239" s="200"/>
      <c r="J239" s="222"/>
      <c r="K239" s="200"/>
      <c r="L239" s="200"/>
      <c r="M239" s="221"/>
      <c r="N239" s="200"/>
    </row>
    <row r="240" s="163" customFormat="1" spans="1:14">
      <c r="A240" s="192" t="s">
        <v>138</v>
      </c>
      <c r="B240" s="193">
        <v>2050299</v>
      </c>
      <c r="C240" s="193" t="s">
        <v>296</v>
      </c>
      <c r="D240" s="202">
        <v>422</v>
      </c>
      <c r="E240" s="195">
        <v>739</v>
      </c>
      <c r="F240" s="196">
        <v>1092</v>
      </c>
      <c r="G240" s="197">
        <f t="shared" si="32"/>
        <v>258.767772511848</v>
      </c>
      <c r="H240" s="196">
        <v>1287</v>
      </c>
      <c r="I240" s="202">
        <f>F240-H240</f>
        <v>-195</v>
      </c>
      <c r="J240" s="220">
        <f>I240/H240*100</f>
        <v>-15.1515151515152</v>
      </c>
      <c r="K240" s="202">
        <f>12+713</f>
        <v>725</v>
      </c>
      <c r="L240" s="202">
        <f>K240-D240</f>
        <v>303</v>
      </c>
      <c r="M240" s="221">
        <f>L240/D240*100</f>
        <v>71.8009478672986</v>
      </c>
      <c r="N240" s="202"/>
    </row>
    <row r="241" s="162" customFormat="1" spans="1:14">
      <c r="A241" s="186" t="s">
        <v>136</v>
      </c>
      <c r="B241" s="187">
        <v>20503</v>
      </c>
      <c r="C241" s="188" t="s">
        <v>297</v>
      </c>
      <c r="D241" s="189"/>
      <c r="E241" s="190">
        <f>SUM(E242:E242)</f>
        <v>0</v>
      </c>
      <c r="F241" s="189"/>
      <c r="G241" s="191"/>
      <c r="H241" s="189"/>
      <c r="I241" s="189"/>
      <c r="J241" s="218"/>
      <c r="K241" s="189"/>
      <c r="L241" s="189"/>
      <c r="M241" s="191"/>
      <c r="N241" s="219"/>
    </row>
    <row r="242" spans="1:14">
      <c r="A242" s="198" t="s">
        <v>138</v>
      </c>
      <c r="B242" s="199">
        <v>2050399</v>
      </c>
      <c r="C242" s="199" t="s">
        <v>298</v>
      </c>
      <c r="D242" s="200"/>
      <c r="E242" s="195"/>
      <c r="F242" s="201"/>
      <c r="G242" s="197"/>
      <c r="H242" s="201"/>
      <c r="I242" s="200"/>
      <c r="J242" s="222"/>
      <c r="K242" s="200"/>
      <c r="L242" s="200"/>
      <c r="M242" s="221"/>
      <c r="N242" s="200"/>
    </row>
    <row r="243" s="162" customFormat="1" spans="1:14">
      <c r="A243" s="186" t="s">
        <v>136</v>
      </c>
      <c r="B243" s="187">
        <v>20504</v>
      </c>
      <c r="C243" s="188" t="s">
        <v>299</v>
      </c>
      <c r="D243" s="189"/>
      <c r="E243" s="190">
        <f>SUM(E244:E244)</f>
        <v>0</v>
      </c>
      <c r="F243" s="189"/>
      <c r="G243" s="191"/>
      <c r="H243" s="189"/>
      <c r="I243" s="189"/>
      <c r="J243" s="218"/>
      <c r="K243" s="189"/>
      <c r="L243" s="189"/>
      <c r="M243" s="191"/>
      <c r="N243" s="219"/>
    </row>
    <row r="244" spans="1:14">
      <c r="A244" s="198" t="s">
        <v>138</v>
      </c>
      <c r="B244" s="199">
        <v>2050499</v>
      </c>
      <c r="C244" s="199" t="s">
        <v>300</v>
      </c>
      <c r="D244" s="200"/>
      <c r="E244" s="195"/>
      <c r="F244" s="201"/>
      <c r="G244" s="197"/>
      <c r="H244" s="201"/>
      <c r="I244" s="200"/>
      <c r="J244" s="222"/>
      <c r="K244" s="200"/>
      <c r="L244" s="200"/>
      <c r="M244" s="221"/>
      <c r="N244" s="200"/>
    </row>
    <row r="245" s="162" customFormat="1" spans="1:14">
      <c r="A245" s="186" t="s">
        <v>136</v>
      </c>
      <c r="B245" s="187">
        <v>20505</v>
      </c>
      <c r="C245" s="188" t="s">
        <v>301</v>
      </c>
      <c r="D245" s="189"/>
      <c r="E245" s="190">
        <f>SUM(E246:E246)</f>
        <v>0</v>
      </c>
      <c r="F245" s="189"/>
      <c r="G245" s="191"/>
      <c r="H245" s="189"/>
      <c r="I245" s="189"/>
      <c r="J245" s="218"/>
      <c r="K245" s="189"/>
      <c r="L245" s="189"/>
      <c r="M245" s="191"/>
      <c r="N245" s="219"/>
    </row>
    <row r="246" spans="1:14">
      <c r="A246" s="198" t="s">
        <v>138</v>
      </c>
      <c r="B246" s="199">
        <v>2050599</v>
      </c>
      <c r="C246" s="199" t="s">
        <v>302</v>
      </c>
      <c r="D246" s="200"/>
      <c r="E246" s="195"/>
      <c r="F246" s="201"/>
      <c r="G246" s="197"/>
      <c r="H246" s="201"/>
      <c r="I246" s="200"/>
      <c r="J246" s="222"/>
      <c r="K246" s="200"/>
      <c r="L246" s="200"/>
      <c r="M246" s="221"/>
      <c r="N246" s="200"/>
    </row>
    <row r="247" s="162" customFormat="1" spans="1:14">
      <c r="A247" s="186" t="s">
        <v>136</v>
      </c>
      <c r="B247" s="187">
        <v>20506</v>
      </c>
      <c r="C247" s="188" t="s">
        <v>303</v>
      </c>
      <c r="D247" s="189"/>
      <c r="E247" s="190">
        <f>SUM(E248:E248)</f>
        <v>0</v>
      </c>
      <c r="F247" s="189"/>
      <c r="G247" s="191"/>
      <c r="H247" s="189"/>
      <c r="I247" s="189"/>
      <c r="J247" s="218"/>
      <c r="K247" s="189"/>
      <c r="L247" s="189"/>
      <c r="M247" s="191"/>
      <c r="N247" s="219"/>
    </row>
    <row r="248" spans="1:14">
      <c r="A248" s="198" t="s">
        <v>138</v>
      </c>
      <c r="B248" s="199">
        <v>2050699</v>
      </c>
      <c r="C248" s="199" t="s">
        <v>304</v>
      </c>
      <c r="D248" s="200"/>
      <c r="E248" s="195"/>
      <c r="F248" s="201"/>
      <c r="G248" s="197"/>
      <c r="H248" s="201"/>
      <c r="I248" s="200"/>
      <c r="J248" s="222"/>
      <c r="K248" s="200"/>
      <c r="L248" s="200"/>
      <c r="M248" s="221"/>
      <c r="N248" s="200"/>
    </row>
    <row r="249" s="162" customFormat="1" spans="1:14">
      <c r="A249" s="186" t="s">
        <v>136</v>
      </c>
      <c r="B249" s="187">
        <v>20507</v>
      </c>
      <c r="C249" s="188" t="s">
        <v>305</v>
      </c>
      <c r="D249" s="189"/>
      <c r="E249" s="190">
        <f>SUM(E250:E250)</f>
        <v>30</v>
      </c>
      <c r="F249" s="189">
        <f>SUM(F250:F250)</f>
        <v>10</v>
      </c>
      <c r="G249" s="191"/>
      <c r="H249" s="189"/>
      <c r="I249" s="189">
        <f>F249-H249</f>
        <v>10</v>
      </c>
      <c r="J249" s="218"/>
      <c r="K249" s="189"/>
      <c r="L249" s="189"/>
      <c r="M249" s="191"/>
      <c r="N249" s="219"/>
    </row>
    <row r="250" spans="1:14">
      <c r="A250" s="198" t="s">
        <v>138</v>
      </c>
      <c r="B250" s="199">
        <v>2050799</v>
      </c>
      <c r="C250" s="199" t="s">
        <v>306</v>
      </c>
      <c r="D250" s="200"/>
      <c r="E250" s="195">
        <v>30</v>
      </c>
      <c r="F250" s="201">
        <v>10</v>
      </c>
      <c r="G250" s="197"/>
      <c r="H250" s="201"/>
      <c r="I250" s="200">
        <f>F250-H250</f>
        <v>10</v>
      </c>
      <c r="J250" s="222"/>
      <c r="K250" s="200"/>
      <c r="L250" s="200"/>
      <c r="M250" s="221"/>
      <c r="N250" s="200"/>
    </row>
    <row r="251" s="162" customFormat="1" spans="1:14">
      <c r="A251" s="186" t="s">
        <v>136</v>
      </c>
      <c r="B251" s="187">
        <v>20508</v>
      </c>
      <c r="C251" s="188" t="s">
        <v>307</v>
      </c>
      <c r="D251" s="189"/>
      <c r="E251" s="190">
        <f>SUM(E252:E252)</f>
        <v>0</v>
      </c>
      <c r="F251" s="189"/>
      <c r="G251" s="191"/>
      <c r="H251" s="189"/>
      <c r="I251" s="189"/>
      <c r="J251" s="218"/>
      <c r="K251" s="189"/>
      <c r="L251" s="189"/>
      <c r="M251" s="191"/>
      <c r="N251" s="219"/>
    </row>
    <row r="252" spans="1:14">
      <c r="A252" s="198" t="s">
        <v>138</v>
      </c>
      <c r="B252" s="199">
        <v>2050899</v>
      </c>
      <c r="C252" s="199" t="s">
        <v>308</v>
      </c>
      <c r="D252" s="200"/>
      <c r="E252" s="195"/>
      <c r="F252" s="201"/>
      <c r="G252" s="197"/>
      <c r="H252" s="201"/>
      <c r="I252" s="200"/>
      <c r="J252" s="222"/>
      <c r="K252" s="200"/>
      <c r="L252" s="200"/>
      <c r="M252" s="221"/>
      <c r="N252" s="200"/>
    </row>
    <row r="253" s="162" customFormat="1" spans="1:14">
      <c r="A253" s="186" t="s">
        <v>136</v>
      </c>
      <c r="B253" s="187">
        <v>20509</v>
      </c>
      <c r="C253" s="188" t="s">
        <v>309</v>
      </c>
      <c r="D253" s="189"/>
      <c r="E253" s="190">
        <f>SUM(E254:E256)</f>
        <v>0</v>
      </c>
      <c r="F253" s="189"/>
      <c r="G253" s="191"/>
      <c r="H253" s="189">
        <f>SUM(H254:H256)</f>
        <v>298</v>
      </c>
      <c r="I253" s="189">
        <f t="shared" ref="I253:I262" si="40">F253-H253</f>
        <v>-298</v>
      </c>
      <c r="J253" s="218">
        <f t="shared" ref="J253:J262" si="41">I253/H253*100</f>
        <v>-100</v>
      </c>
      <c r="K253" s="189"/>
      <c r="L253" s="189"/>
      <c r="M253" s="191"/>
      <c r="N253" s="219"/>
    </row>
    <row r="254" spans="1:14">
      <c r="A254" s="198" t="s">
        <v>138</v>
      </c>
      <c r="B254" s="199">
        <v>2050901</v>
      </c>
      <c r="C254" s="199" t="s">
        <v>310</v>
      </c>
      <c r="D254" s="200"/>
      <c r="E254" s="195"/>
      <c r="F254" s="201"/>
      <c r="G254" s="197"/>
      <c r="H254" s="201">
        <v>178</v>
      </c>
      <c r="I254" s="200">
        <f t="shared" si="40"/>
        <v>-178</v>
      </c>
      <c r="J254" s="222">
        <f t="shared" si="41"/>
        <v>-100</v>
      </c>
      <c r="K254" s="200"/>
      <c r="L254" s="200"/>
      <c r="M254" s="221"/>
      <c r="N254" s="200"/>
    </row>
    <row r="255" spans="1:14">
      <c r="A255" s="198" t="s">
        <v>138</v>
      </c>
      <c r="B255" s="199">
        <v>2050902</v>
      </c>
      <c r="C255" s="199" t="s">
        <v>311</v>
      </c>
      <c r="D255" s="200"/>
      <c r="E255" s="195"/>
      <c r="F255" s="201"/>
      <c r="G255" s="197"/>
      <c r="H255" s="201">
        <v>110</v>
      </c>
      <c r="I255" s="200">
        <f t="shared" si="40"/>
        <v>-110</v>
      </c>
      <c r="J255" s="222">
        <f t="shared" si="41"/>
        <v>-100</v>
      </c>
      <c r="K255" s="200"/>
      <c r="L255" s="200"/>
      <c r="M255" s="221"/>
      <c r="N255" s="200"/>
    </row>
    <row r="256" spans="1:14">
      <c r="A256" s="198" t="s">
        <v>138</v>
      </c>
      <c r="B256" s="199">
        <v>2050999</v>
      </c>
      <c r="C256" s="199" t="s">
        <v>312</v>
      </c>
      <c r="D256" s="200"/>
      <c r="E256" s="195"/>
      <c r="F256" s="201"/>
      <c r="G256" s="197"/>
      <c r="H256" s="201">
        <v>10</v>
      </c>
      <c r="I256" s="200">
        <f t="shared" si="40"/>
        <v>-10</v>
      </c>
      <c r="J256" s="222">
        <f t="shared" si="41"/>
        <v>-100</v>
      </c>
      <c r="K256" s="200"/>
      <c r="L256" s="200"/>
      <c r="M256" s="221"/>
      <c r="N256" s="200"/>
    </row>
    <row r="257" s="162" customFormat="1" spans="1:14">
      <c r="A257" s="186" t="s">
        <v>136</v>
      </c>
      <c r="B257" s="187">
        <v>20599</v>
      </c>
      <c r="C257" s="188" t="s">
        <v>313</v>
      </c>
      <c r="D257" s="189">
        <f>D258</f>
        <v>13</v>
      </c>
      <c r="E257" s="190">
        <f t="shared" ref="E257:H257" si="42">E258</f>
        <v>26</v>
      </c>
      <c r="F257" s="189">
        <f t="shared" si="42"/>
        <v>1124</v>
      </c>
      <c r="G257" s="191">
        <f t="shared" si="32"/>
        <v>8646.15384615385</v>
      </c>
      <c r="H257" s="189">
        <f t="shared" si="42"/>
        <v>928</v>
      </c>
      <c r="I257" s="189">
        <f t="shared" si="40"/>
        <v>196</v>
      </c>
      <c r="J257" s="218">
        <f t="shared" si="41"/>
        <v>21.1206896551724</v>
      </c>
      <c r="K257" s="189"/>
      <c r="L257" s="189">
        <f>K257-D257</f>
        <v>-13</v>
      </c>
      <c r="M257" s="191">
        <f>L257/D257*100</f>
        <v>-100</v>
      </c>
      <c r="N257" s="219"/>
    </row>
    <row r="258" s="163" customFormat="1" spans="1:14">
      <c r="A258" s="192" t="s">
        <v>138</v>
      </c>
      <c r="B258" s="193">
        <v>2059999</v>
      </c>
      <c r="C258" s="193" t="s">
        <v>314</v>
      </c>
      <c r="D258" s="202">
        <v>13</v>
      </c>
      <c r="E258" s="195">
        <v>26</v>
      </c>
      <c r="F258" s="196">
        <v>1124</v>
      </c>
      <c r="G258" s="197">
        <f t="shared" si="32"/>
        <v>8646.15384615385</v>
      </c>
      <c r="H258" s="196">
        <v>928</v>
      </c>
      <c r="I258" s="202">
        <f t="shared" si="40"/>
        <v>196</v>
      </c>
      <c r="J258" s="220">
        <f t="shared" si="41"/>
        <v>21.1206896551724</v>
      </c>
      <c r="K258" s="202"/>
      <c r="L258" s="202">
        <f>K258-D258</f>
        <v>-13</v>
      </c>
      <c r="M258" s="221">
        <f>L258/D258*100</f>
        <v>-100</v>
      </c>
      <c r="N258" s="202"/>
    </row>
    <row r="259" s="161" customFormat="1" spans="1:14">
      <c r="A259" s="181" t="s">
        <v>134</v>
      </c>
      <c r="B259" s="182">
        <v>206</v>
      </c>
      <c r="C259" s="182" t="s">
        <v>315</v>
      </c>
      <c r="D259" s="183">
        <f>SUM(D260,D263,D265,D267,D269,D271,D273,D276,D278,D280)</f>
        <v>800</v>
      </c>
      <c r="E259" s="184">
        <f t="shared" ref="E259:K259" si="43">SUM(E260,E263,E265,E267,E269,E271,E273,E276,E278,E280)</f>
        <v>745</v>
      </c>
      <c r="F259" s="183">
        <f t="shared" si="43"/>
        <v>642</v>
      </c>
      <c r="G259" s="185">
        <f t="shared" si="32"/>
        <v>80.25</v>
      </c>
      <c r="H259" s="183">
        <f>SUM(H260,H263,H265,H267,H269,H271,H273,H276,H278,H280)</f>
        <v>769</v>
      </c>
      <c r="I259" s="183">
        <f t="shared" si="40"/>
        <v>-127</v>
      </c>
      <c r="J259" s="215">
        <f t="shared" si="41"/>
        <v>-16.5149544863459</v>
      </c>
      <c r="K259" s="183">
        <f t="shared" si="43"/>
        <v>634</v>
      </c>
      <c r="L259" s="216">
        <f>K259-D259</f>
        <v>-166</v>
      </c>
      <c r="M259" s="217">
        <f>L259/D259*100</f>
        <v>-20.75</v>
      </c>
      <c r="N259" s="216"/>
    </row>
    <row r="260" s="162" customFormat="1" spans="1:14">
      <c r="A260" s="186" t="s">
        <v>136</v>
      </c>
      <c r="B260" s="187">
        <v>20601</v>
      </c>
      <c r="C260" s="188" t="s">
        <v>316</v>
      </c>
      <c r="D260" s="189">
        <f>SUM(D261:D262)</f>
        <v>42</v>
      </c>
      <c r="E260" s="190">
        <f>SUM(E261:E262)</f>
        <v>37</v>
      </c>
      <c r="F260" s="189">
        <f>SUM(F261:F262)</f>
        <v>39</v>
      </c>
      <c r="G260" s="191">
        <f t="shared" si="32"/>
        <v>92.8571428571429</v>
      </c>
      <c r="H260" s="189">
        <f>SUM(H261:H262)</f>
        <v>44</v>
      </c>
      <c r="I260" s="189">
        <f t="shared" si="40"/>
        <v>-5</v>
      </c>
      <c r="J260" s="218">
        <f t="shared" si="41"/>
        <v>-11.3636363636364</v>
      </c>
      <c r="K260" s="189">
        <f>SUM(K261:K262)</f>
        <v>34</v>
      </c>
      <c r="L260" s="189">
        <f>K260-D260</f>
        <v>-8</v>
      </c>
      <c r="M260" s="191">
        <f>L260/D260*100</f>
        <v>-19.047619047619</v>
      </c>
      <c r="N260" s="219"/>
    </row>
    <row r="261" s="163" customFormat="1" spans="1:14">
      <c r="A261" s="192" t="s">
        <v>138</v>
      </c>
      <c r="B261" s="193">
        <v>2060101</v>
      </c>
      <c r="C261" s="193" t="s">
        <v>139</v>
      </c>
      <c r="D261" s="202">
        <v>42</v>
      </c>
      <c r="E261" s="195">
        <v>37</v>
      </c>
      <c r="F261" s="196">
        <v>39</v>
      </c>
      <c r="G261" s="197">
        <f t="shared" si="32"/>
        <v>92.8571428571429</v>
      </c>
      <c r="H261" s="196">
        <v>29</v>
      </c>
      <c r="I261" s="202">
        <f t="shared" si="40"/>
        <v>10</v>
      </c>
      <c r="J261" s="220">
        <f t="shared" si="41"/>
        <v>34.4827586206897</v>
      </c>
      <c r="K261" s="202">
        <v>34</v>
      </c>
      <c r="L261" s="202">
        <f>K261-D261</f>
        <v>-8</v>
      </c>
      <c r="M261" s="221">
        <f>L261/D261*100</f>
        <v>-19.047619047619</v>
      </c>
      <c r="N261" s="202"/>
    </row>
    <row r="262" spans="1:14">
      <c r="A262" s="198" t="s">
        <v>138</v>
      </c>
      <c r="B262" s="199">
        <v>2060199</v>
      </c>
      <c r="C262" s="199" t="s">
        <v>317</v>
      </c>
      <c r="D262" s="200"/>
      <c r="E262" s="195"/>
      <c r="F262" s="201"/>
      <c r="G262" s="197"/>
      <c r="H262" s="201">
        <v>15</v>
      </c>
      <c r="I262" s="200">
        <f t="shared" si="40"/>
        <v>-15</v>
      </c>
      <c r="J262" s="222">
        <f t="shared" si="41"/>
        <v>-100</v>
      </c>
      <c r="K262" s="200"/>
      <c r="L262" s="200"/>
      <c r="M262" s="221"/>
      <c r="N262" s="200"/>
    </row>
    <row r="263" s="162" customFormat="1" spans="1:14">
      <c r="A263" s="186" t="s">
        <v>136</v>
      </c>
      <c r="B263" s="187">
        <v>20602</v>
      </c>
      <c r="C263" s="188" t="s">
        <v>318</v>
      </c>
      <c r="D263" s="189"/>
      <c r="E263" s="190">
        <f>SUM(E264:E264)</f>
        <v>0</v>
      </c>
      <c r="F263" s="189"/>
      <c r="G263" s="191"/>
      <c r="H263" s="189"/>
      <c r="I263" s="189"/>
      <c r="J263" s="218"/>
      <c r="K263" s="189"/>
      <c r="L263" s="189"/>
      <c r="M263" s="191"/>
      <c r="N263" s="219"/>
    </row>
    <row r="264" spans="1:14">
      <c r="A264" s="198" t="s">
        <v>138</v>
      </c>
      <c r="B264" s="199">
        <v>2060299</v>
      </c>
      <c r="C264" s="199" t="s">
        <v>319</v>
      </c>
      <c r="D264" s="200"/>
      <c r="E264" s="195"/>
      <c r="F264" s="201"/>
      <c r="G264" s="197"/>
      <c r="H264" s="201"/>
      <c r="I264" s="200"/>
      <c r="J264" s="222"/>
      <c r="K264" s="200"/>
      <c r="L264" s="200"/>
      <c r="M264" s="221"/>
      <c r="N264" s="200"/>
    </row>
    <row r="265" s="162" customFormat="1" spans="1:14">
      <c r="A265" s="186" t="s">
        <v>136</v>
      </c>
      <c r="B265" s="187">
        <v>20603</v>
      </c>
      <c r="C265" s="188" t="s">
        <v>320</v>
      </c>
      <c r="D265" s="189"/>
      <c r="E265" s="190">
        <f>SUM(E266:E266)</f>
        <v>0</v>
      </c>
      <c r="F265" s="189"/>
      <c r="G265" s="191"/>
      <c r="H265" s="189"/>
      <c r="I265" s="189"/>
      <c r="J265" s="218"/>
      <c r="K265" s="189"/>
      <c r="L265" s="189"/>
      <c r="M265" s="191"/>
      <c r="N265" s="219"/>
    </row>
    <row r="266" spans="1:14">
      <c r="A266" s="198" t="s">
        <v>138</v>
      </c>
      <c r="B266" s="199">
        <v>2060399</v>
      </c>
      <c r="C266" s="199" t="s">
        <v>321</v>
      </c>
      <c r="D266" s="200"/>
      <c r="E266" s="195"/>
      <c r="F266" s="201"/>
      <c r="G266" s="197"/>
      <c r="H266" s="201"/>
      <c r="I266" s="200"/>
      <c r="J266" s="222"/>
      <c r="K266" s="200"/>
      <c r="L266" s="200"/>
      <c r="M266" s="221"/>
      <c r="N266" s="200"/>
    </row>
    <row r="267" s="162" customFormat="1" spans="1:14">
      <c r="A267" s="186" t="s">
        <v>136</v>
      </c>
      <c r="B267" s="187">
        <v>20604</v>
      </c>
      <c r="C267" s="188" t="s">
        <v>322</v>
      </c>
      <c r="D267" s="189"/>
      <c r="E267" s="190">
        <f>SUM(E268:E268)</f>
        <v>0</v>
      </c>
      <c r="F267" s="189"/>
      <c r="G267" s="191"/>
      <c r="H267" s="189"/>
      <c r="I267" s="189"/>
      <c r="J267" s="218"/>
      <c r="K267" s="189"/>
      <c r="L267" s="189"/>
      <c r="M267" s="191"/>
      <c r="N267" s="219"/>
    </row>
    <row r="268" spans="1:14">
      <c r="A268" s="198" t="s">
        <v>138</v>
      </c>
      <c r="B268" s="199">
        <v>2060499</v>
      </c>
      <c r="C268" s="199" t="s">
        <v>323</v>
      </c>
      <c r="D268" s="200"/>
      <c r="E268" s="195"/>
      <c r="F268" s="201"/>
      <c r="G268" s="197"/>
      <c r="H268" s="201"/>
      <c r="I268" s="200"/>
      <c r="J268" s="222"/>
      <c r="K268" s="200"/>
      <c r="L268" s="200"/>
      <c r="M268" s="221"/>
      <c r="N268" s="200"/>
    </row>
    <row r="269" s="162" customFormat="1" spans="1:14">
      <c r="A269" s="186" t="s">
        <v>136</v>
      </c>
      <c r="B269" s="187">
        <v>20605</v>
      </c>
      <c r="C269" s="188" t="s">
        <v>324</v>
      </c>
      <c r="D269" s="189"/>
      <c r="E269" s="190">
        <f>SUM(E270:E270)</f>
        <v>0</v>
      </c>
      <c r="F269" s="189"/>
      <c r="G269" s="191"/>
      <c r="H269" s="189"/>
      <c r="I269" s="189"/>
      <c r="J269" s="218"/>
      <c r="K269" s="189"/>
      <c r="L269" s="189"/>
      <c r="M269" s="191"/>
      <c r="N269" s="219"/>
    </row>
    <row r="270" spans="1:14">
      <c r="A270" s="198" t="s">
        <v>138</v>
      </c>
      <c r="B270" s="199">
        <v>2060599</v>
      </c>
      <c r="C270" s="199" t="s">
        <v>325</v>
      </c>
      <c r="D270" s="200"/>
      <c r="E270" s="195"/>
      <c r="F270" s="201"/>
      <c r="G270" s="197"/>
      <c r="H270" s="201"/>
      <c r="I270" s="200"/>
      <c r="J270" s="222"/>
      <c r="K270" s="200"/>
      <c r="L270" s="200"/>
      <c r="M270" s="221"/>
      <c r="N270" s="200"/>
    </row>
    <row r="271" s="162" customFormat="1" spans="1:14">
      <c r="A271" s="186" t="s">
        <v>136</v>
      </c>
      <c r="B271" s="187">
        <v>20606</v>
      </c>
      <c r="C271" s="188" t="s">
        <v>326</v>
      </c>
      <c r="D271" s="189"/>
      <c r="E271" s="190">
        <f>SUM(E272:E272)</f>
        <v>0</v>
      </c>
      <c r="F271" s="189"/>
      <c r="G271" s="191"/>
      <c r="H271" s="189"/>
      <c r="I271" s="189"/>
      <c r="J271" s="218"/>
      <c r="K271" s="189"/>
      <c r="L271" s="189"/>
      <c r="M271" s="191"/>
      <c r="N271" s="219"/>
    </row>
    <row r="272" spans="1:14">
      <c r="A272" s="198" t="s">
        <v>138</v>
      </c>
      <c r="B272" s="199">
        <v>2060699</v>
      </c>
      <c r="C272" s="199" t="s">
        <v>327</v>
      </c>
      <c r="D272" s="200"/>
      <c r="E272" s="195"/>
      <c r="F272" s="201"/>
      <c r="G272" s="197"/>
      <c r="H272" s="201"/>
      <c r="I272" s="200"/>
      <c r="J272" s="222"/>
      <c r="K272" s="200"/>
      <c r="L272" s="200"/>
      <c r="M272" s="221"/>
      <c r="N272" s="200"/>
    </row>
    <row r="273" s="162" customFormat="1" spans="1:14">
      <c r="A273" s="186" t="s">
        <v>136</v>
      </c>
      <c r="B273" s="187">
        <v>20607</v>
      </c>
      <c r="C273" s="188" t="s">
        <v>328</v>
      </c>
      <c r="D273" s="189"/>
      <c r="E273" s="190">
        <f>SUM(E274:E275)</f>
        <v>0</v>
      </c>
      <c r="F273" s="189"/>
      <c r="G273" s="191"/>
      <c r="H273" s="189"/>
      <c r="I273" s="189"/>
      <c r="J273" s="218"/>
      <c r="K273" s="189"/>
      <c r="L273" s="189"/>
      <c r="M273" s="191"/>
      <c r="N273" s="219"/>
    </row>
    <row r="274" spans="1:14">
      <c r="A274" s="198" t="s">
        <v>138</v>
      </c>
      <c r="B274" s="199">
        <v>2060701</v>
      </c>
      <c r="C274" s="199" t="s">
        <v>329</v>
      </c>
      <c r="D274" s="200"/>
      <c r="E274" s="195"/>
      <c r="F274" s="201"/>
      <c r="G274" s="197"/>
      <c r="H274" s="201"/>
      <c r="I274" s="200"/>
      <c r="J274" s="222"/>
      <c r="K274" s="200"/>
      <c r="L274" s="200"/>
      <c r="M274" s="221"/>
      <c r="N274" s="200"/>
    </row>
    <row r="275" spans="1:14">
      <c r="A275" s="198" t="s">
        <v>138</v>
      </c>
      <c r="B275" s="199">
        <v>2060702</v>
      </c>
      <c r="C275" s="199" t="s">
        <v>330</v>
      </c>
      <c r="D275" s="200"/>
      <c r="E275" s="195"/>
      <c r="F275" s="201"/>
      <c r="G275" s="197"/>
      <c r="H275" s="201"/>
      <c r="I275" s="200"/>
      <c r="J275" s="222"/>
      <c r="K275" s="200"/>
      <c r="L275" s="200"/>
      <c r="M275" s="221"/>
      <c r="N275" s="200"/>
    </row>
    <row r="276" s="162" customFormat="1" spans="1:14">
      <c r="A276" s="186" t="s">
        <v>136</v>
      </c>
      <c r="B276" s="187">
        <v>20608</v>
      </c>
      <c r="C276" s="188" t="s">
        <v>331</v>
      </c>
      <c r="D276" s="189"/>
      <c r="E276" s="190">
        <f>SUM(E277:E277)</f>
        <v>0</v>
      </c>
      <c r="F276" s="189"/>
      <c r="G276" s="191"/>
      <c r="H276" s="189"/>
      <c r="I276" s="189"/>
      <c r="J276" s="218"/>
      <c r="K276" s="189"/>
      <c r="L276" s="189"/>
      <c r="M276" s="191"/>
      <c r="N276" s="219"/>
    </row>
    <row r="277" spans="1:14">
      <c r="A277" s="198" t="s">
        <v>138</v>
      </c>
      <c r="B277" s="199">
        <v>2060899</v>
      </c>
      <c r="C277" s="199" t="s">
        <v>332</v>
      </c>
      <c r="D277" s="200"/>
      <c r="E277" s="195"/>
      <c r="F277" s="201"/>
      <c r="G277" s="197"/>
      <c r="H277" s="201"/>
      <c r="I277" s="200"/>
      <c r="J277" s="222"/>
      <c r="K277" s="200"/>
      <c r="L277" s="200"/>
      <c r="M277" s="221"/>
      <c r="N277" s="200"/>
    </row>
    <row r="278" s="162" customFormat="1" spans="1:14">
      <c r="A278" s="186" t="s">
        <v>136</v>
      </c>
      <c r="B278" s="187">
        <v>20609</v>
      </c>
      <c r="C278" s="188" t="s">
        <v>333</v>
      </c>
      <c r="D278" s="189"/>
      <c r="E278" s="190">
        <f>SUM(E279:E279)</f>
        <v>0</v>
      </c>
      <c r="F278" s="189"/>
      <c r="G278" s="191"/>
      <c r="H278" s="189"/>
      <c r="I278" s="189"/>
      <c r="J278" s="218"/>
      <c r="K278" s="189"/>
      <c r="L278" s="189"/>
      <c r="M278" s="191"/>
      <c r="N278" s="219"/>
    </row>
    <row r="279" spans="1:14">
      <c r="A279" s="198" t="s">
        <v>138</v>
      </c>
      <c r="B279" s="199">
        <v>2060999</v>
      </c>
      <c r="C279" s="199" t="s">
        <v>334</v>
      </c>
      <c r="D279" s="200"/>
      <c r="E279" s="195"/>
      <c r="F279" s="201"/>
      <c r="G279" s="197"/>
      <c r="H279" s="201"/>
      <c r="I279" s="200"/>
      <c r="J279" s="222"/>
      <c r="K279" s="200"/>
      <c r="L279" s="200"/>
      <c r="M279" s="221"/>
      <c r="N279" s="200"/>
    </row>
    <row r="280" s="162" customFormat="1" spans="1:14">
      <c r="A280" s="186" t="s">
        <v>136</v>
      </c>
      <c r="B280" s="187">
        <v>20699</v>
      </c>
      <c r="C280" s="188" t="s">
        <v>335</v>
      </c>
      <c r="D280" s="189">
        <f>SUM(D281:D281)</f>
        <v>758</v>
      </c>
      <c r="E280" s="190">
        <f>SUM(E281:E281)</f>
        <v>708</v>
      </c>
      <c r="F280" s="189">
        <f>SUM(F281:F281)</f>
        <v>603</v>
      </c>
      <c r="G280" s="191">
        <f t="shared" ref="G264:G327" si="44">F280/D280*100</f>
        <v>79.5514511873351</v>
      </c>
      <c r="H280" s="189">
        <f>SUM(H281:H281)</f>
        <v>725</v>
      </c>
      <c r="I280" s="189">
        <f>F280-H280</f>
        <v>-122</v>
      </c>
      <c r="J280" s="218">
        <f>I280/H280*100</f>
        <v>-16.8275862068966</v>
      </c>
      <c r="K280" s="189">
        <f>SUM(K281:K281)</f>
        <v>600</v>
      </c>
      <c r="L280" s="189">
        <f>K280-D280</f>
        <v>-158</v>
      </c>
      <c r="M280" s="191">
        <f>L280/D280*100</f>
        <v>-20.844327176781</v>
      </c>
      <c r="N280" s="219"/>
    </row>
    <row r="281" s="163" customFormat="1" spans="1:14">
      <c r="A281" s="192" t="s">
        <v>138</v>
      </c>
      <c r="B281" s="193">
        <v>2069999</v>
      </c>
      <c r="C281" s="193" t="s">
        <v>336</v>
      </c>
      <c r="D281" s="202">
        <v>758</v>
      </c>
      <c r="E281" s="195">
        <f>278+430</f>
        <v>708</v>
      </c>
      <c r="F281" s="196">
        <v>603</v>
      </c>
      <c r="G281" s="197">
        <f t="shared" si="44"/>
        <v>79.5514511873351</v>
      </c>
      <c r="H281" s="196">
        <v>725</v>
      </c>
      <c r="I281" s="202">
        <f>F281-H281</f>
        <v>-122</v>
      </c>
      <c r="J281" s="220">
        <f>I281/H281*100</f>
        <v>-16.8275862068966</v>
      </c>
      <c r="K281" s="202">
        <v>600</v>
      </c>
      <c r="L281" s="202">
        <f>K281-D281</f>
        <v>-158</v>
      </c>
      <c r="M281" s="221">
        <f>L281/D281*100</f>
        <v>-20.844327176781</v>
      </c>
      <c r="N281" s="202"/>
    </row>
    <row r="282" s="161" customFormat="1" spans="1:14">
      <c r="A282" s="181" t="s">
        <v>134</v>
      </c>
      <c r="B282" s="182">
        <v>207</v>
      </c>
      <c r="C282" s="182" t="s">
        <v>337</v>
      </c>
      <c r="D282" s="183">
        <f>SUM(D283,D292,D294,D305,D307,D309)</f>
        <v>121</v>
      </c>
      <c r="E282" s="184">
        <f t="shared" ref="E282:K282" si="45">SUM(E283,E292,E294,E305,E307,E309)</f>
        <v>182</v>
      </c>
      <c r="F282" s="183">
        <f t="shared" si="45"/>
        <v>227</v>
      </c>
      <c r="G282" s="185">
        <f t="shared" si="44"/>
        <v>187.603305785124</v>
      </c>
      <c r="H282" s="183">
        <f>SUM(H283,H292,H294,H305,H307,H309)</f>
        <v>269</v>
      </c>
      <c r="I282" s="183">
        <f>F282-H282</f>
        <v>-42</v>
      </c>
      <c r="J282" s="215">
        <f>I282/H282*100</f>
        <v>-15.6133828996283</v>
      </c>
      <c r="K282" s="183">
        <f t="shared" si="45"/>
        <v>156</v>
      </c>
      <c r="L282" s="216">
        <f>K282-D282</f>
        <v>35</v>
      </c>
      <c r="M282" s="217">
        <f>L282/D282*100</f>
        <v>28.9256198347107</v>
      </c>
      <c r="N282" s="216"/>
    </row>
    <row r="283" s="162" customFormat="1" spans="1:14">
      <c r="A283" s="186" t="s">
        <v>136</v>
      </c>
      <c r="B283" s="187">
        <v>20701</v>
      </c>
      <c r="C283" s="188" t="s">
        <v>338</v>
      </c>
      <c r="D283" s="189">
        <f>SUM(D284:D291)</f>
        <v>78</v>
      </c>
      <c r="E283" s="190">
        <f>SUM(E284:E291)</f>
        <v>130</v>
      </c>
      <c r="F283" s="189">
        <f>SUM(F284:F291)</f>
        <v>164</v>
      </c>
      <c r="G283" s="191">
        <f t="shared" si="44"/>
        <v>210.25641025641</v>
      </c>
      <c r="H283" s="189">
        <f>SUM(H284:H291)</f>
        <v>170</v>
      </c>
      <c r="I283" s="189">
        <f>F283-H283</f>
        <v>-6</v>
      </c>
      <c r="J283" s="218">
        <f>I283/H283*100</f>
        <v>-3.52941176470588</v>
      </c>
      <c r="K283" s="189">
        <f>SUM(K284:K291)</f>
        <v>109</v>
      </c>
      <c r="L283" s="189">
        <f>K283-D283</f>
        <v>31</v>
      </c>
      <c r="M283" s="191">
        <f>L283/D283*100</f>
        <v>39.7435897435897</v>
      </c>
      <c r="N283" s="219"/>
    </row>
    <row r="284" s="163" customFormat="1" spans="1:14">
      <c r="A284" s="192" t="s">
        <v>138</v>
      </c>
      <c r="B284" s="193">
        <v>2070101</v>
      </c>
      <c r="C284" s="193" t="s">
        <v>139</v>
      </c>
      <c r="D284" s="202">
        <v>28</v>
      </c>
      <c r="E284" s="195">
        <v>35</v>
      </c>
      <c r="F284" s="196">
        <v>28</v>
      </c>
      <c r="G284" s="197">
        <f t="shared" si="44"/>
        <v>100</v>
      </c>
      <c r="H284" s="196">
        <v>27</v>
      </c>
      <c r="I284" s="202">
        <f>F284-H284</f>
        <v>1</v>
      </c>
      <c r="J284" s="220">
        <f>I284/H284*100</f>
        <v>3.7037037037037</v>
      </c>
      <c r="K284" s="202">
        <v>60</v>
      </c>
      <c r="L284" s="202">
        <f>K284-D284</f>
        <v>32</v>
      </c>
      <c r="M284" s="221">
        <f>L284/D284*100</f>
        <v>114.285714285714</v>
      </c>
      <c r="N284" s="202"/>
    </row>
    <row r="285" spans="1:14">
      <c r="A285" s="198" t="s">
        <v>138</v>
      </c>
      <c r="B285" s="199">
        <v>2070102</v>
      </c>
      <c r="C285" s="199" t="s">
        <v>140</v>
      </c>
      <c r="D285" s="200"/>
      <c r="E285" s="195"/>
      <c r="F285" s="201"/>
      <c r="G285" s="197"/>
      <c r="H285" s="201"/>
      <c r="I285" s="200"/>
      <c r="J285" s="222"/>
      <c r="K285" s="200"/>
      <c r="L285" s="200"/>
      <c r="M285" s="221"/>
      <c r="N285" s="200"/>
    </row>
    <row r="286" spans="1:14">
      <c r="A286" s="198" t="s">
        <v>138</v>
      </c>
      <c r="B286" s="199">
        <v>2070103</v>
      </c>
      <c r="C286" s="199" t="s">
        <v>141</v>
      </c>
      <c r="D286" s="200"/>
      <c r="E286" s="195"/>
      <c r="F286" s="201">
        <v>2</v>
      </c>
      <c r="G286" s="197"/>
      <c r="H286" s="201">
        <v>5</v>
      </c>
      <c r="I286" s="200">
        <f>F286-H286</f>
        <v>-3</v>
      </c>
      <c r="J286" s="222">
        <f>I286/H286*100</f>
        <v>-60</v>
      </c>
      <c r="K286" s="200"/>
      <c r="L286" s="200"/>
      <c r="M286" s="221"/>
      <c r="N286" s="200"/>
    </row>
    <row r="287" s="163" customFormat="1" spans="1:14">
      <c r="A287" s="192" t="s">
        <v>138</v>
      </c>
      <c r="B287" s="193">
        <v>2070104</v>
      </c>
      <c r="C287" s="193" t="s">
        <v>339</v>
      </c>
      <c r="D287" s="202">
        <v>4</v>
      </c>
      <c r="E287" s="195">
        <v>54</v>
      </c>
      <c r="F287" s="196">
        <v>4</v>
      </c>
      <c r="G287" s="197">
        <f t="shared" si="44"/>
        <v>100</v>
      </c>
      <c r="H287" s="196">
        <v>36</v>
      </c>
      <c r="I287" s="202">
        <f>F287-H287</f>
        <v>-32</v>
      </c>
      <c r="J287" s="220">
        <f>I287/H287*100</f>
        <v>-88.8888888888889</v>
      </c>
      <c r="K287" s="202"/>
      <c r="L287" s="202">
        <f>K287-D287</f>
        <v>-4</v>
      </c>
      <c r="M287" s="221">
        <f>L287/D287*100</f>
        <v>-100</v>
      </c>
      <c r="N287" s="202"/>
    </row>
    <row r="288" s="163" customFormat="1" spans="1:14">
      <c r="A288" s="192" t="s">
        <v>138</v>
      </c>
      <c r="B288" s="193">
        <v>2070109</v>
      </c>
      <c r="C288" s="193" t="s">
        <v>340</v>
      </c>
      <c r="D288" s="202">
        <v>40</v>
      </c>
      <c r="E288" s="195">
        <v>41</v>
      </c>
      <c r="F288" s="196">
        <v>40</v>
      </c>
      <c r="G288" s="197">
        <f t="shared" si="44"/>
        <v>100</v>
      </c>
      <c r="H288" s="196">
        <v>36</v>
      </c>
      <c r="I288" s="202">
        <f t="shared" ref="I288:I316" si="46">F288-H288</f>
        <v>4</v>
      </c>
      <c r="J288" s="220">
        <f t="shared" ref="J288:J316" si="47">I288/H288*100</f>
        <v>11.1111111111111</v>
      </c>
      <c r="K288" s="202">
        <v>43</v>
      </c>
      <c r="L288" s="202">
        <f>K288-D288</f>
        <v>3</v>
      </c>
      <c r="M288" s="221">
        <f>L288/D288*100</f>
        <v>7.5</v>
      </c>
      <c r="N288" s="202"/>
    </row>
    <row r="289" spans="1:14">
      <c r="A289" s="198" t="s">
        <v>138</v>
      </c>
      <c r="B289" s="199">
        <v>2070113</v>
      </c>
      <c r="C289" s="199" t="s">
        <v>341</v>
      </c>
      <c r="D289" s="200"/>
      <c r="E289" s="195"/>
      <c r="F289" s="201"/>
      <c r="G289" s="197"/>
      <c r="H289" s="201">
        <v>11</v>
      </c>
      <c r="I289" s="200">
        <f t="shared" si="46"/>
        <v>-11</v>
      </c>
      <c r="J289" s="222">
        <f t="shared" si="47"/>
        <v>-100</v>
      </c>
      <c r="K289" s="200"/>
      <c r="L289" s="200"/>
      <c r="M289" s="221"/>
      <c r="N289" s="200"/>
    </row>
    <row r="290" spans="1:14">
      <c r="A290" s="198" t="s">
        <v>138</v>
      </c>
      <c r="B290" s="199">
        <v>2070114</v>
      </c>
      <c r="C290" s="199" t="s">
        <v>342</v>
      </c>
      <c r="D290" s="200"/>
      <c r="E290" s="195"/>
      <c r="F290" s="201">
        <v>4</v>
      </c>
      <c r="G290" s="197"/>
      <c r="H290" s="201">
        <v>11</v>
      </c>
      <c r="I290" s="200">
        <f t="shared" si="46"/>
        <v>-7</v>
      </c>
      <c r="J290" s="222">
        <f t="shared" si="47"/>
        <v>-63.6363636363636</v>
      </c>
      <c r="K290" s="200"/>
      <c r="L290" s="200"/>
      <c r="M290" s="221"/>
      <c r="N290" s="200"/>
    </row>
    <row r="291" s="163" customFormat="1" spans="1:14">
      <c r="A291" s="192" t="s">
        <v>138</v>
      </c>
      <c r="B291" s="193">
        <v>2070199</v>
      </c>
      <c r="C291" s="193" t="s">
        <v>343</v>
      </c>
      <c r="D291" s="202">
        <v>6</v>
      </c>
      <c r="E291" s="195"/>
      <c r="F291" s="196">
        <v>86</v>
      </c>
      <c r="G291" s="197">
        <f t="shared" si="44"/>
        <v>1433.33333333333</v>
      </c>
      <c r="H291" s="196">
        <v>44</v>
      </c>
      <c r="I291" s="202">
        <f t="shared" si="46"/>
        <v>42</v>
      </c>
      <c r="J291" s="220">
        <f t="shared" si="47"/>
        <v>95.4545454545455</v>
      </c>
      <c r="K291" s="202">
        <v>6</v>
      </c>
      <c r="L291" s="202"/>
      <c r="M291" s="221"/>
      <c r="N291" s="202"/>
    </row>
    <row r="292" s="162" customFormat="1" spans="1:14">
      <c r="A292" s="186" t="s">
        <v>136</v>
      </c>
      <c r="B292" s="187">
        <v>20702</v>
      </c>
      <c r="C292" s="188" t="s">
        <v>344</v>
      </c>
      <c r="D292" s="189"/>
      <c r="E292" s="190">
        <f>SUM(E293:E293)</f>
        <v>0</v>
      </c>
      <c r="F292" s="189"/>
      <c r="G292" s="191"/>
      <c r="H292" s="189"/>
      <c r="I292" s="189"/>
      <c r="J292" s="218"/>
      <c r="K292" s="189"/>
      <c r="L292" s="189"/>
      <c r="M292" s="191"/>
      <c r="N292" s="219"/>
    </row>
    <row r="293" spans="1:14">
      <c r="A293" s="198" t="s">
        <v>138</v>
      </c>
      <c r="B293" s="199">
        <v>2070299</v>
      </c>
      <c r="C293" s="199" t="s">
        <v>345</v>
      </c>
      <c r="D293" s="200"/>
      <c r="E293" s="195"/>
      <c r="F293" s="201"/>
      <c r="G293" s="197"/>
      <c r="H293" s="201"/>
      <c r="I293" s="200"/>
      <c r="J293" s="222"/>
      <c r="K293" s="200"/>
      <c r="L293" s="200"/>
      <c r="M293" s="221"/>
      <c r="N293" s="200"/>
    </row>
    <row r="294" s="162" customFormat="1" spans="1:14">
      <c r="A294" s="186" t="s">
        <v>136</v>
      </c>
      <c r="B294" s="187">
        <v>20703</v>
      </c>
      <c r="C294" s="188" t="s">
        <v>346</v>
      </c>
      <c r="D294" s="189">
        <f>SUM(D295:D304)</f>
        <v>43</v>
      </c>
      <c r="E294" s="190">
        <f t="shared" ref="E294:H294" si="48">SUM(E295:E304)</f>
        <v>52</v>
      </c>
      <c r="F294" s="189">
        <f t="shared" si="48"/>
        <v>43</v>
      </c>
      <c r="G294" s="191">
        <f t="shared" si="44"/>
        <v>100</v>
      </c>
      <c r="H294" s="189">
        <f t="shared" si="48"/>
        <v>58</v>
      </c>
      <c r="I294" s="189">
        <f t="shared" si="46"/>
        <v>-15</v>
      </c>
      <c r="J294" s="218">
        <f t="shared" si="47"/>
        <v>-25.8620689655172</v>
      </c>
      <c r="K294" s="189">
        <f>SUM(K295:K304)</f>
        <v>47</v>
      </c>
      <c r="L294" s="189">
        <f>K294-D294</f>
        <v>4</v>
      </c>
      <c r="M294" s="191">
        <f>L294/D294*100</f>
        <v>9.30232558139535</v>
      </c>
      <c r="N294" s="219"/>
    </row>
    <row r="295" spans="1:14">
      <c r="A295" s="198" t="s">
        <v>138</v>
      </c>
      <c r="B295" s="199">
        <v>2070301</v>
      </c>
      <c r="C295" s="199" t="s">
        <v>139</v>
      </c>
      <c r="D295" s="200"/>
      <c r="E295" s="195"/>
      <c r="F295" s="201"/>
      <c r="G295" s="197"/>
      <c r="H295" s="201"/>
      <c r="I295" s="200"/>
      <c r="J295" s="222"/>
      <c r="K295" s="200"/>
      <c r="L295" s="200"/>
      <c r="M295" s="221"/>
      <c r="N295" s="200"/>
    </row>
    <row r="296" spans="1:14">
      <c r="A296" s="198" t="s">
        <v>138</v>
      </c>
      <c r="B296" s="199">
        <v>2070302</v>
      </c>
      <c r="C296" s="199" t="s">
        <v>140</v>
      </c>
      <c r="D296" s="200"/>
      <c r="E296" s="195"/>
      <c r="F296" s="201"/>
      <c r="G296" s="197"/>
      <c r="H296" s="201"/>
      <c r="I296" s="200"/>
      <c r="J296" s="222"/>
      <c r="K296" s="200"/>
      <c r="L296" s="200"/>
      <c r="M296" s="221"/>
      <c r="N296" s="200"/>
    </row>
    <row r="297" spans="1:14">
      <c r="A297" s="198" t="s">
        <v>138</v>
      </c>
      <c r="B297" s="199">
        <v>2070303</v>
      </c>
      <c r="C297" s="199" t="s">
        <v>141</v>
      </c>
      <c r="D297" s="200"/>
      <c r="E297" s="195"/>
      <c r="F297" s="201"/>
      <c r="G297" s="197"/>
      <c r="H297" s="201">
        <v>4</v>
      </c>
      <c r="I297" s="200">
        <f t="shared" si="46"/>
        <v>-4</v>
      </c>
      <c r="J297" s="222">
        <f t="shared" si="47"/>
        <v>-100</v>
      </c>
      <c r="K297" s="200"/>
      <c r="L297" s="200"/>
      <c r="M297" s="221"/>
      <c r="N297" s="200"/>
    </row>
    <row r="298" spans="1:14">
      <c r="A298" s="198" t="s">
        <v>138</v>
      </c>
      <c r="B298" s="199">
        <v>2070304</v>
      </c>
      <c r="C298" s="199" t="s">
        <v>347</v>
      </c>
      <c r="D298" s="200"/>
      <c r="E298" s="195"/>
      <c r="F298" s="201"/>
      <c r="G298" s="197"/>
      <c r="H298" s="201"/>
      <c r="I298" s="200"/>
      <c r="J298" s="222"/>
      <c r="K298" s="200"/>
      <c r="L298" s="200"/>
      <c r="M298" s="221"/>
      <c r="N298" s="200"/>
    </row>
    <row r="299" spans="1:14">
      <c r="A299" s="198" t="s">
        <v>138</v>
      </c>
      <c r="B299" s="199">
        <v>2070305</v>
      </c>
      <c r="C299" s="199" t="s">
        <v>348</v>
      </c>
      <c r="D299" s="200"/>
      <c r="E299" s="195"/>
      <c r="F299" s="201"/>
      <c r="G299" s="197"/>
      <c r="H299" s="201">
        <v>6</v>
      </c>
      <c r="I299" s="200">
        <f t="shared" si="46"/>
        <v>-6</v>
      </c>
      <c r="J299" s="222">
        <f t="shared" si="47"/>
        <v>-100</v>
      </c>
      <c r="K299" s="200"/>
      <c r="L299" s="200"/>
      <c r="M299" s="221"/>
      <c r="N299" s="200"/>
    </row>
    <row r="300" spans="1:14">
      <c r="A300" s="198" t="s">
        <v>138</v>
      </c>
      <c r="B300" s="199">
        <v>2070306</v>
      </c>
      <c r="C300" s="199" t="s">
        <v>349</v>
      </c>
      <c r="D300" s="200"/>
      <c r="E300" s="195"/>
      <c r="F300" s="201"/>
      <c r="G300" s="197"/>
      <c r="H300" s="201"/>
      <c r="I300" s="200"/>
      <c r="J300" s="222"/>
      <c r="K300" s="200"/>
      <c r="L300" s="200"/>
      <c r="M300" s="221"/>
      <c r="N300" s="200"/>
    </row>
    <row r="301" spans="1:14">
      <c r="A301" s="198" t="s">
        <v>138</v>
      </c>
      <c r="B301" s="199">
        <v>2070307</v>
      </c>
      <c r="C301" s="199" t="s">
        <v>350</v>
      </c>
      <c r="D301" s="200"/>
      <c r="E301" s="195"/>
      <c r="F301" s="201"/>
      <c r="G301" s="197"/>
      <c r="H301" s="201"/>
      <c r="I301" s="200"/>
      <c r="J301" s="222"/>
      <c r="K301" s="200"/>
      <c r="L301" s="200"/>
      <c r="M301" s="221"/>
      <c r="N301" s="200"/>
    </row>
    <row r="302" s="163" customFormat="1" spans="1:14">
      <c r="A302" s="192" t="s">
        <v>138</v>
      </c>
      <c r="B302" s="193">
        <v>2070308</v>
      </c>
      <c r="C302" s="193" t="s">
        <v>351</v>
      </c>
      <c r="D302" s="202">
        <v>43</v>
      </c>
      <c r="E302" s="195">
        <v>52</v>
      </c>
      <c r="F302" s="196">
        <v>43</v>
      </c>
      <c r="G302" s="197">
        <f t="shared" si="44"/>
        <v>100</v>
      </c>
      <c r="H302" s="196">
        <v>41</v>
      </c>
      <c r="I302" s="202">
        <f t="shared" si="46"/>
        <v>2</v>
      </c>
      <c r="J302" s="220">
        <f t="shared" si="47"/>
        <v>4.8780487804878</v>
      </c>
      <c r="K302" s="202">
        <v>47</v>
      </c>
      <c r="L302" s="202">
        <f>K302-D302</f>
        <v>4</v>
      </c>
      <c r="M302" s="221">
        <f>L302/D302*100</f>
        <v>9.30232558139535</v>
      </c>
      <c r="N302" s="202"/>
    </row>
    <row r="303" spans="1:14">
      <c r="A303" s="198" t="s">
        <v>138</v>
      </c>
      <c r="B303" s="199">
        <v>2070309</v>
      </c>
      <c r="C303" s="199" t="s">
        <v>352</v>
      </c>
      <c r="D303" s="200"/>
      <c r="E303" s="195"/>
      <c r="F303" s="201"/>
      <c r="G303" s="197"/>
      <c r="H303" s="201"/>
      <c r="I303" s="200"/>
      <c r="J303" s="222"/>
      <c r="K303" s="200"/>
      <c r="L303" s="200"/>
      <c r="M303" s="221"/>
      <c r="N303" s="200"/>
    </row>
    <row r="304" spans="1:14">
      <c r="A304" s="198" t="s">
        <v>138</v>
      </c>
      <c r="B304" s="199">
        <v>2070399</v>
      </c>
      <c r="C304" s="199" t="s">
        <v>353</v>
      </c>
      <c r="D304" s="200"/>
      <c r="E304" s="195"/>
      <c r="F304" s="201"/>
      <c r="G304" s="197"/>
      <c r="H304" s="201">
        <v>7</v>
      </c>
      <c r="I304" s="200">
        <f t="shared" si="46"/>
        <v>-7</v>
      </c>
      <c r="J304" s="222">
        <f t="shared" si="47"/>
        <v>-100</v>
      </c>
      <c r="K304" s="200"/>
      <c r="L304" s="200"/>
      <c r="M304" s="221"/>
      <c r="N304" s="200"/>
    </row>
    <row r="305" s="162" customFormat="1" spans="1:14">
      <c r="A305" s="186" t="s">
        <v>136</v>
      </c>
      <c r="B305" s="187">
        <v>20706</v>
      </c>
      <c r="C305" s="188" t="s">
        <v>354</v>
      </c>
      <c r="D305" s="189"/>
      <c r="E305" s="190">
        <f>SUM(E306:E306)</f>
        <v>0</v>
      </c>
      <c r="F305" s="189"/>
      <c r="G305" s="191"/>
      <c r="H305" s="189"/>
      <c r="I305" s="189"/>
      <c r="J305" s="218"/>
      <c r="K305" s="189"/>
      <c r="L305" s="189"/>
      <c r="M305" s="191"/>
      <c r="N305" s="219"/>
    </row>
    <row r="306" spans="1:14">
      <c r="A306" s="198" t="s">
        <v>138</v>
      </c>
      <c r="B306" s="199">
        <v>2070699</v>
      </c>
      <c r="C306" s="199" t="s">
        <v>355</v>
      </c>
      <c r="D306" s="200"/>
      <c r="E306" s="195"/>
      <c r="F306" s="201"/>
      <c r="G306" s="197"/>
      <c r="H306" s="201"/>
      <c r="I306" s="200"/>
      <c r="J306" s="222"/>
      <c r="K306" s="200"/>
      <c r="L306" s="200"/>
      <c r="M306" s="221"/>
      <c r="N306" s="200"/>
    </row>
    <row r="307" s="162" customFormat="1" spans="1:14">
      <c r="A307" s="186" t="s">
        <v>136</v>
      </c>
      <c r="B307" s="187">
        <v>20708</v>
      </c>
      <c r="C307" s="188" t="s">
        <v>356</v>
      </c>
      <c r="D307" s="189"/>
      <c r="E307" s="190">
        <f>SUM(E308:E308)</f>
        <v>0</v>
      </c>
      <c r="F307" s="189"/>
      <c r="G307" s="191"/>
      <c r="H307" s="189"/>
      <c r="I307" s="189"/>
      <c r="J307" s="218"/>
      <c r="K307" s="189"/>
      <c r="L307" s="189"/>
      <c r="M307" s="191"/>
      <c r="N307" s="219"/>
    </row>
    <row r="308" spans="1:14">
      <c r="A308" s="198" t="s">
        <v>138</v>
      </c>
      <c r="B308" s="199">
        <v>2070899</v>
      </c>
      <c r="C308" s="199" t="s">
        <v>357</v>
      </c>
      <c r="D308" s="200"/>
      <c r="E308" s="195"/>
      <c r="F308" s="201"/>
      <c r="G308" s="197"/>
      <c r="H308" s="201"/>
      <c r="I308" s="200"/>
      <c r="J308" s="222"/>
      <c r="K308" s="200"/>
      <c r="L308" s="200"/>
      <c r="M308" s="221"/>
      <c r="N308" s="200"/>
    </row>
    <row r="309" s="162" customFormat="1" spans="1:14">
      <c r="A309" s="186" t="s">
        <v>136</v>
      </c>
      <c r="B309" s="187">
        <v>20799</v>
      </c>
      <c r="C309" s="188" t="s">
        <v>358</v>
      </c>
      <c r="D309" s="189"/>
      <c r="E309" s="190">
        <f t="shared" ref="E309:H309" si="49">SUM(E310:E312)</f>
        <v>0</v>
      </c>
      <c r="F309" s="189">
        <f t="shared" si="49"/>
        <v>20</v>
      </c>
      <c r="G309" s="191"/>
      <c r="H309" s="189">
        <f t="shared" si="49"/>
        <v>41</v>
      </c>
      <c r="I309" s="189">
        <f t="shared" si="46"/>
        <v>-21</v>
      </c>
      <c r="J309" s="218">
        <f t="shared" si="47"/>
        <v>-51.219512195122</v>
      </c>
      <c r="K309" s="189"/>
      <c r="L309" s="189"/>
      <c r="M309" s="191"/>
      <c r="N309" s="219"/>
    </row>
    <row r="310" spans="1:14">
      <c r="A310" s="198" t="s">
        <v>138</v>
      </c>
      <c r="B310" s="199">
        <v>2079902</v>
      </c>
      <c r="C310" s="199" t="s">
        <v>359</v>
      </c>
      <c r="D310" s="200"/>
      <c r="E310" s="195"/>
      <c r="F310" s="201"/>
      <c r="G310" s="197"/>
      <c r="H310" s="201"/>
      <c r="I310" s="200"/>
      <c r="J310" s="222"/>
      <c r="K310" s="200"/>
      <c r="L310" s="200"/>
      <c r="M310" s="221"/>
      <c r="N310" s="200"/>
    </row>
    <row r="311" spans="1:14">
      <c r="A311" s="198" t="s">
        <v>138</v>
      </c>
      <c r="B311" s="199">
        <v>2079903</v>
      </c>
      <c r="C311" s="199" t="s">
        <v>360</v>
      </c>
      <c r="D311" s="200"/>
      <c r="E311" s="195"/>
      <c r="F311" s="201"/>
      <c r="G311" s="197"/>
      <c r="H311" s="201"/>
      <c r="I311" s="200"/>
      <c r="J311" s="222"/>
      <c r="K311" s="200"/>
      <c r="L311" s="200"/>
      <c r="M311" s="221"/>
      <c r="N311" s="200"/>
    </row>
    <row r="312" spans="1:14">
      <c r="A312" s="198" t="s">
        <v>138</v>
      </c>
      <c r="B312" s="199">
        <v>2079999</v>
      </c>
      <c r="C312" s="199" t="s">
        <v>361</v>
      </c>
      <c r="D312" s="200"/>
      <c r="E312" s="195"/>
      <c r="F312" s="201">
        <v>20</v>
      </c>
      <c r="G312" s="197"/>
      <c r="H312" s="201">
        <v>41</v>
      </c>
      <c r="I312" s="200">
        <f t="shared" si="46"/>
        <v>-21</v>
      </c>
      <c r="J312" s="222">
        <f t="shared" si="47"/>
        <v>-51.219512195122</v>
      </c>
      <c r="K312" s="200"/>
      <c r="L312" s="200"/>
      <c r="M312" s="221"/>
      <c r="N312" s="200"/>
    </row>
    <row r="313" s="161" customFormat="1" spans="1:14">
      <c r="A313" s="181" t="s">
        <v>134</v>
      </c>
      <c r="B313" s="182">
        <v>208</v>
      </c>
      <c r="C313" s="182" t="s">
        <v>362</v>
      </c>
      <c r="D313" s="183">
        <f>D314+D322+D330+D332+D341+D343+D353+D362+D366+D370+D379+D381+D384+D387+D390+D392+D394+D398+D402+D411+D414</f>
        <v>11441</v>
      </c>
      <c r="E313" s="184">
        <f t="shared" ref="E313:K313" si="50">E314+E322+E330+E332+E341+E343+E353+E362+E366+E370+E379+E381+E384+E387+E390+E392+E394+E398+E402+E411+E414</f>
        <v>9923</v>
      </c>
      <c r="F313" s="183">
        <f t="shared" si="50"/>
        <v>14648</v>
      </c>
      <c r="G313" s="185">
        <f t="shared" si="44"/>
        <v>128.030766541386</v>
      </c>
      <c r="H313" s="183">
        <f>H314+H322+H330+H332+H341+H343+H353+H362+H366+H370+H379+H381+H384+H387+H390+H392+H394+H398+H402+H411+H414</f>
        <v>13747</v>
      </c>
      <c r="I313" s="183">
        <f t="shared" si="46"/>
        <v>901</v>
      </c>
      <c r="J313" s="215">
        <f t="shared" si="47"/>
        <v>6.55415727067724</v>
      </c>
      <c r="K313" s="183">
        <f t="shared" si="50"/>
        <v>14404</v>
      </c>
      <c r="L313" s="216">
        <f>K313-D313</f>
        <v>2963</v>
      </c>
      <c r="M313" s="217">
        <f>L313/D313*100</f>
        <v>25.8980858316581</v>
      </c>
      <c r="N313" s="216"/>
    </row>
    <row r="314" s="162" customFormat="1" spans="1:14">
      <c r="A314" s="186" t="s">
        <v>136</v>
      </c>
      <c r="B314" s="187">
        <v>20801</v>
      </c>
      <c r="C314" s="188" t="s">
        <v>363</v>
      </c>
      <c r="D314" s="189">
        <f>SUM(D315:D321)</f>
        <v>4130</v>
      </c>
      <c r="E314" s="190">
        <f>SUM(E315:E321)</f>
        <v>225</v>
      </c>
      <c r="F314" s="189">
        <f>SUM(F315:F321)</f>
        <v>3179</v>
      </c>
      <c r="G314" s="191">
        <f t="shared" si="44"/>
        <v>76.9733656174334</v>
      </c>
      <c r="H314" s="189">
        <f>SUM(H315:H321)</f>
        <v>2686</v>
      </c>
      <c r="I314" s="189">
        <f t="shared" si="46"/>
        <v>493</v>
      </c>
      <c r="J314" s="218">
        <f t="shared" si="47"/>
        <v>18.3544303797468</v>
      </c>
      <c r="K314" s="189">
        <f>SUM(K315:K321)</f>
        <v>3480</v>
      </c>
      <c r="L314" s="189">
        <f>K314-D314</f>
        <v>-650</v>
      </c>
      <c r="M314" s="191">
        <f>L314/D314*100</f>
        <v>-15.7384987893462</v>
      </c>
      <c r="N314" s="219"/>
    </row>
    <row r="315" s="163" customFormat="1" spans="1:14">
      <c r="A315" s="192" t="s">
        <v>138</v>
      </c>
      <c r="B315" s="193">
        <v>2080101</v>
      </c>
      <c r="C315" s="193" t="s">
        <v>139</v>
      </c>
      <c r="D315" s="202">
        <v>1530</v>
      </c>
      <c r="E315" s="195">
        <v>200</v>
      </c>
      <c r="F315" s="196">
        <v>1267</v>
      </c>
      <c r="G315" s="197">
        <f t="shared" si="44"/>
        <v>82.8104575163399</v>
      </c>
      <c r="H315" s="196">
        <v>751</v>
      </c>
      <c r="I315" s="202">
        <f t="shared" si="46"/>
        <v>516</v>
      </c>
      <c r="J315" s="220">
        <f t="shared" si="47"/>
        <v>68.7083888149134</v>
      </c>
      <c r="K315" s="202">
        <f>1079</f>
        <v>1079</v>
      </c>
      <c r="L315" s="202">
        <f>K315-D315</f>
        <v>-451</v>
      </c>
      <c r="M315" s="221">
        <f>L315/D315*100</f>
        <v>-29.4771241830065</v>
      </c>
      <c r="N315" s="202"/>
    </row>
    <row r="316" spans="1:14">
      <c r="A316" s="198" t="s">
        <v>138</v>
      </c>
      <c r="B316" s="199">
        <v>2080102</v>
      </c>
      <c r="C316" s="199" t="s">
        <v>140</v>
      </c>
      <c r="D316" s="200"/>
      <c r="E316" s="195"/>
      <c r="F316" s="201">
        <v>7</v>
      </c>
      <c r="G316" s="197"/>
      <c r="H316" s="201">
        <v>1798</v>
      </c>
      <c r="I316" s="200">
        <f t="shared" si="46"/>
        <v>-1791</v>
      </c>
      <c r="J316" s="222">
        <f t="shared" si="47"/>
        <v>-99.6106785317019</v>
      </c>
      <c r="K316" s="200"/>
      <c r="L316" s="200"/>
      <c r="M316" s="221"/>
      <c r="N316" s="200"/>
    </row>
    <row r="317" spans="1:14">
      <c r="A317" s="198" t="s">
        <v>138</v>
      </c>
      <c r="B317" s="199">
        <v>2080103</v>
      </c>
      <c r="C317" s="199" t="s">
        <v>141</v>
      </c>
      <c r="D317" s="200"/>
      <c r="E317" s="195"/>
      <c r="F317" s="201"/>
      <c r="G317" s="197"/>
      <c r="H317" s="201"/>
      <c r="I317" s="200"/>
      <c r="J317" s="222"/>
      <c r="K317" s="200">
        <v>1</v>
      </c>
      <c r="L317" s="200">
        <f>K317-D317</f>
        <v>1</v>
      </c>
      <c r="M317" s="221"/>
      <c r="N317" s="200"/>
    </row>
    <row r="318" spans="1:14">
      <c r="A318" s="198" t="s">
        <v>138</v>
      </c>
      <c r="B318" s="199">
        <v>2080105</v>
      </c>
      <c r="C318" s="199" t="s">
        <v>364</v>
      </c>
      <c r="D318" s="200"/>
      <c r="E318" s="195"/>
      <c r="F318" s="201"/>
      <c r="G318" s="197"/>
      <c r="H318" s="201">
        <v>11</v>
      </c>
      <c r="I318" s="200">
        <f>F318-H318</f>
        <v>-11</v>
      </c>
      <c r="J318" s="222">
        <f>I318/H318*100</f>
        <v>-100</v>
      </c>
      <c r="K318" s="200"/>
      <c r="L318" s="200"/>
      <c r="M318" s="221"/>
      <c r="N318" s="200"/>
    </row>
    <row r="319" spans="1:14">
      <c r="A319" s="198" t="s">
        <v>138</v>
      </c>
      <c r="B319" s="199">
        <v>2080106</v>
      </c>
      <c r="C319" s="199" t="s">
        <v>365</v>
      </c>
      <c r="D319" s="200"/>
      <c r="E319" s="195"/>
      <c r="F319" s="201"/>
      <c r="G319" s="197"/>
      <c r="H319" s="201"/>
      <c r="I319" s="200"/>
      <c r="J319" s="222"/>
      <c r="K319" s="200"/>
      <c r="L319" s="200"/>
      <c r="M319" s="221"/>
      <c r="N319" s="200"/>
    </row>
    <row r="320" spans="1:14">
      <c r="A320" s="198" t="s">
        <v>138</v>
      </c>
      <c r="B320" s="199">
        <v>2080150</v>
      </c>
      <c r="C320" s="199" t="s">
        <v>148</v>
      </c>
      <c r="D320" s="200"/>
      <c r="E320" s="195"/>
      <c r="F320" s="201">
        <v>3</v>
      </c>
      <c r="G320" s="197"/>
      <c r="H320" s="201">
        <v>19</v>
      </c>
      <c r="I320" s="200">
        <f t="shared" ref="I320:I382" si="51">F320-H320</f>
        <v>-16</v>
      </c>
      <c r="J320" s="222">
        <f t="shared" ref="J320:J382" si="52">I320/H320*100</f>
        <v>-84.2105263157895</v>
      </c>
      <c r="K320" s="200"/>
      <c r="L320" s="200"/>
      <c r="M320" s="221"/>
      <c r="N320" s="200"/>
    </row>
    <row r="321" s="163" customFormat="1" spans="1:14">
      <c r="A321" s="192" t="s">
        <v>138</v>
      </c>
      <c r="B321" s="193">
        <v>2080199</v>
      </c>
      <c r="C321" s="193" t="s">
        <v>366</v>
      </c>
      <c r="D321" s="202">
        <v>2600</v>
      </c>
      <c r="E321" s="195">
        <v>25</v>
      </c>
      <c r="F321" s="196">
        <v>1902</v>
      </c>
      <c r="G321" s="197">
        <f t="shared" si="44"/>
        <v>73.1538461538462</v>
      </c>
      <c r="H321" s="196">
        <v>107</v>
      </c>
      <c r="I321" s="202">
        <f t="shared" si="51"/>
        <v>1795</v>
      </c>
      <c r="J321" s="220">
        <f t="shared" si="52"/>
        <v>1677.57009345794</v>
      </c>
      <c r="K321" s="202">
        <v>2400</v>
      </c>
      <c r="L321" s="202">
        <f>K321-D321</f>
        <v>-200</v>
      </c>
      <c r="M321" s="221">
        <f>L321/D321*100</f>
        <v>-7.69230769230769</v>
      </c>
      <c r="N321" s="202"/>
    </row>
    <row r="322" s="162" customFormat="1" spans="1:14">
      <c r="A322" s="186" t="s">
        <v>136</v>
      </c>
      <c r="B322" s="187">
        <v>20802</v>
      </c>
      <c r="C322" s="188" t="s">
        <v>367</v>
      </c>
      <c r="D322" s="189">
        <f>SUM(D323:D329)</f>
        <v>50</v>
      </c>
      <c r="E322" s="190">
        <f t="shared" ref="E322:H322" si="53">SUM(E323:E329)</f>
        <v>538</v>
      </c>
      <c r="F322" s="189">
        <f t="shared" si="53"/>
        <v>68</v>
      </c>
      <c r="G322" s="191">
        <f t="shared" si="44"/>
        <v>136</v>
      </c>
      <c r="H322" s="189">
        <f t="shared" si="53"/>
        <v>143</v>
      </c>
      <c r="I322" s="189">
        <f t="shared" si="51"/>
        <v>-75</v>
      </c>
      <c r="J322" s="218">
        <f t="shared" si="52"/>
        <v>-52.4475524475524</v>
      </c>
      <c r="K322" s="189">
        <f>SUM(K323:K329)</f>
        <v>152</v>
      </c>
      <c r="L322" s="189">
        <f>K322-D322</f>
        <v>102</v>
      </c>
      <c r="M322" s="191">
        <f>L322/D322*100</f>
        <v>204</v>
      </c>
      <c r="N322" s="219"/>
    </row>
    <row r="323" s="163" customFormat="1" spans="1:14">
      <c r="A323" s="192" t="s">
        <v>138</v>
      </c>
      <c r="B323" s="193">
        <v>2080201</v>
      </c>
      <c r="C323" s="193" t="s">
        <v>139</v>
      </c>
      <c r="D323" s="202">
        <v>50</v>
      </c>
      <c r="E323" s="195">
        <v>54</v>
      </c>
      <c r="F323" s="196">
        <v>56</v>
      </c>
      <c r="G323" s="197">
        <f t="shared" si="44"/>
        <v>112</v>
      </c>
      <c r="H323" s="196">
        <v>47</v>
      </c>
      <c r="I323" s="202">
        <f t="shared" si="51"/>
        <v>9</v>
      </c>
      <c r="J323" s="220">
        <f t="shared" si="52"/>
        <v>19.1489361702128</v>
      </c>
      <c r="K323" s="202">
        <v>32</v>
      </c>
      <c r="L323" s="202">
        <f>K323-D323</f>
        <v>-18</v>
      </c>
      <c r="M323" s="221">
        <f>L323/D323*100</f>
        <v>-36</v>
      </c>
      <c r="N323" s="202"/>
    </row>
    <row r="324" spans="1:14">
      <c r="A324" s="198" t="s">
        <v>138</v>
      </c>
      <c r="B324" s="199">
        <v>2080202</v>
      </c>
      <c r="C324" s="199" t="s">
        <v>140</v>
      </c>
      <c r="D324" s="200"/>
      <c r="E324" s="195"/>
      <c r="F324" s="201"/>
      <c r="G324" s="197"/>
      <c r="H324" s="201">
        <v>8</v>
      </c>
      <c r="I324" s="200">
        <f t="shared" si="51"/>
        <v>-8</v>
      </c>
      <c r="J324" s="222">
        <f t="shared" si="52"/>
        <v>-100</v>
      </c>
      <c r="K324" s="200"/>
      <c r="L324" s="200"/>
      <c r="M324" s="221"/>
      <c r="N324" s="200"/>
    </row>
    <row r="325" spans="1:14">
      <c r="A325" s="198" t="s">
        <v>138</v>
      </c>
      <c r="B325" s="199">
        <v>2080203</v>
      </c>
      <c r="C325" s="199" t="s">
        <v>141</v>
      </c>
      <c r="D325" s="200"/>
      <c r="E325" s="195"/>
      <c r="F325" s="201">
        <v>3</v>
      </c>
      <c r="G325" s="197"/>
      <c r="H325" s="201">
        <v>3</v>
      </c>
      <c r="I325" s="200"/>
      <c r="J325" s="222"/>
      <c r="K325" s="200">
        <v>43</v>
      </c>
      <c r="L325" s="200">
        <f>K325-D325</f>
        <v>43</v>
      </c>
      <c r="M325" s="221"/>
      <c r="N325" s="200"/>
    </row>
    <row r="326" spans="1:14">
      <c r="A326" s="198" t="s">
        <v>138</v>
      </c>
      <c r="B326" s="199">
        <v>2080206</v>
      </c>
      <c r="C326" s="199" t="s">
        <v>368</v>
      </c>
      <c r="D326" s="200"/>
      <c r="E326" s="195">
        <v>2</v>
      </c>
      <c r="F326" s="201"/>
      <c r="G326" s="197"/>
      <c r="H326" s="201"/>
      <c r="I326" s="200"/>
      <c r="J326" s="222"/>
      <c r="K326" s="200"/>
      <c r="L326" s="200"/>
      <c r="M326" s="221"/>
      <c r="N326" s="200"/>
    </row>
    <row r="327" spans="1:14">
      <c r="A327" s="198" t="s">
        <v>138</v>
      </c>
      <c r="B327" s="199">
        <v>2080207</v>
      </c>
      <c r="C327" s="199" t="s">
        <v>369</v>
      </c>
      <c r="D327" s="200"/>
      <c r="E327" s="195"/>
      <c r="F327" s="201"/>
      <c r="G327" s="197"/>
      <c r="H327" s="201">
        <v>30</v>
      </c>
      <c r="I327" s="200">
        <f t="shared" si="51"/>
        <v>-30</v>
      </c>
      <c r="J327" s="222">
        <f t="shared" si="52"/>
        <v>-100</v>
      </c>
      <c r="K327" s="200">
        <v>29</v>
      </c>
      <c r="L327" s="200">
        <f>K327-D327</f>
        <v>29</v>
      </c>
      <c r="M327" s="221"/>
      <c r="N327" s="200"/>
    </row>
    <row r="328" spans="1:14">
      <c r="A328" s="198" t="s">
        <v>138</v>
      </c>
      <c r="B328" s="199">
        <v>2080208</v>
      </c>
      <c r="C328" s="199" t="s">
        <v>370</v>
      </c>
      <c r="D328" s="200"/>
      <c r="E328" s="195"/>
      <c r="F328" s="201"/>
      <c r="G328" s="197"/>
      <c r="H328" s="201">
        <v>48</v>
      </c>
      <c r="I328" s="200">
        <f t="shared" si="51"/>
        <v>-48</v>
      </c>
      <c r="J328" s="222">
        <f t="shared" si="52"/>
        <v>-100</v>
      </c>
      <c r="K328" s="200"/>
      <c r="L328" s="200"/>
      <c r="M328" s="221"/>
      <c r="N328" s="200"/>
    </row>
    <row r="329" spans="1:14">
      <c r="A329" s="198" t="s">
        <v>138</v>
      </c>
      <c r="B329" s="199">
        <v>2080299</v>
      </c>
      <c r="C329" s="199" t="s">
        <v>371</v>
      </c>
      <c r="D329" s="200"/>
      <c r="E329" s="195">
        <v>482</v>
      </c>
      <c r="F329" s="201">
        <v>9</v>
      </c>
      <c r="G329" s="197"/>
      <c r="H329" s="201">
        <v>7</v>
      </c>
      <c r="I329" s="200">
        <f t="shared" si="51"/>
        <v>2</v>
      </c>
      <c r="J329" s="222">
        <f t="shared" si="52"/>
        <v>28.5714285714286</v>
      </c>
      <c r="K329" s="200">
        <v>48</v>
      </c>
      <c r="L329" s="200">
        <f>K329-D329</f>
        <v>48</v>
      </c>
      <c r="M329" s="221"/>
      <c r="N329" s="200"/>
    </row>
    <row r="330" s="162" customFormat="1" spans="1:14">
      <c r="A330" s="186" t="s">
        <v>136</v>
      </c>
      <c r="B330" s="187">
        <v>20804</v>
      </c>
      <c r="C330" s="188" t="s">
        <v>372</v>
      </c>
      <c r="D330" s="189"/>
      <c r="E330" s="190">
        <f>E331</f>
        <v>0</v>
      </c>
      <c r="F330" s="189"/>
      <c r="G330" s="191"/>
      <c r="H330" s="189"/>
      <c r="I330" s="189"/>
      <c r="J330" s="218"/>
      <c r="K330" s="189"/>
      <c r="L330" s="189"/>
      <c r="M330" s="191"/>
      <c r="N330" s="219"/>
    </row>
    <row r="331" spans="1:14">
      <c r="A331" s="198" t="s">
        <v>138</v>
      </c>
      <c r="B331" s="199">
        <v>2080402</v>
      </c>
      <c r="C331" s="199" t="s">
        <v>373</v>
      </c>
      <c r="D331" s="200"/>
      <c r="E331" s="195"/>
      <c r="F331" s="201"/>
      <c r="G331" s="197"/>
      <c r="H331" s="201"/>
      <c r="I331" s="200"/>
      <c r="J331" s="222"/>
      <c r="K331" s="200"/>
      <c r="L331" s="200"/>
      <c r="M331" s="221"/>
      <c r="N331" s="200"/>
    </row>
    <row r="332" s="162" customFormat="1" spans="1:14">
      <c r="A332" s="186" t="s">
        <v>136</v>
      </c>
      <c r="B332" s="187">
        <v>20805</v>
      </c>
      <c r="C332" s="188" t="s">
        <v>374</v>
      </c>
      <c r="D332" s="189">
        <f>SUM(D333:D340)</f>
        <v>5084</v>
      </c>
      <c r="E332" s="190">
        <f t="shared" ref="E332:H332" si="54">SUM(E333:E340)</f>
        <v>3996</v>
      </c>
      <c r="F332" s="189">
        <f t="shared" si="54"/>
        <v>5686</v>
      </c>
      <c r="G332" s="191">
        <f t="shared" ref="G328:G391" si="55">F332/D332*100</f>
        <v>111.841070023603</v>
      </c>
      <c r="H332" s="189">
        <f t="shared" si="54"/>
        <v>5807</v>
      </c>
      <c r="I332" s="189">
        <f t="shared" si="51"/>
        <v>-121</v>
      </c>
      <c r="J332" s="218">
        <f t="shared" si="52"/>
        <v>-2.08369209574651</v>
      </c>
      <c r="K332" s="189">
        <f>SUM(K333:K340)</f>
        <v>5843</v>
      </c>
      <c r="L332" s="189">
        <f>K332-D332</f>
        <v>759</v>
      </c>
      <c r="M332" s="191">
        <f>L332/D332*100</f>
        <v>14.9291896144768</v>
      </c>
      <c r="N332" s="219"/>
    </row>
    <row r="333" s="163" customFormat="1" spans="1:14">
      <c r="A333" s="192" t="s">
        <v>138</v>
      </c>
      <c r="B333" s="193">
        <v>2080501</v>
      </c>
      <c r="C333" s="193" t="s">
        <v>375</v>
      </c>
      <c r="D333" s="202">
        <v>317</v>
      </c>
      <c r="E333" s="195">
        <v>204</v>
      </c>
      <c r="F333" s="196">
        <v>303</v>
      </c>
      <c r="G333" s="197">
        <f t="shared" si="55"/>
        <v>95.583596214511</v>
      </c>
      <c r="H333" s="196">
        <v>264</v>
      </c>
      <c r="I333" s="202">
        <f t="shared" si="51"/>
        <v>39</v>
      </c>
      <c r="J333" s="220">
        <f t="shared" si="52"/>
        <v>14.7727272727273</v>
      </c>
      <c r="K333" s="202">
        <f>346+34</f>
        <v>380</v>
      </c>
      <c r="L333" s="202">
        <f>K333-D333</f>
        <v>63</v>
      </c>
      <c r="M333" s="221">
        <f>L333/D333*100</f>
        <v>19.8738170347003</v>
      </c>
      <c r="N333" s="202"/>
    </row>
    <row r="334" s="163" customFormat="1" spans="1:14">
      <c r="A334" s="192" t="s">
        <v>138</v>
      </c>
      <c r="B334" s="193">
        <v>2080502</v>
      </c>
      <c r="C334" s="193" t="s">
        <v>376</v>
      </c>
      <c r="D334" s="202">
        <v>553</v>
      </c>
      <c r="E334" s="195">
        <v>374</v>
      </c>
      <c r="F334" s="196">
        <v>583</v>
      </c>
      <c r="G334" s="197">
        <f t="shared" si="55"/>
        <v>105.424954792043</v>
      </c>
      <c r="H334" s="196">
        <v>427</v>
      </c>
      <c r="I334" s="202">
        <f t="shared" si="51"/>
        <v>156</v>
      </c>
      <c r="J334" s="220">
        <f t="shared" si="52"/>
        <v>36.5339578454333</v>
      </c>
      <c r="K334" s="202">
        <f>585+100</f>
        <v>685</v>
      </c>
      <c r="L334" s="202">
        <f>K334-D334</f>
        <v>132</v>
      </c>
      <c r="M334" s="221">
        <f>L334/D334*100</f>
        <v>23.869801084991</v>
      </c>
      <c r="N334" s="202"/>
    </row>
    <row r="335" spans="1:14">
      <c r="A335" s="198" t="s">
        <v>138</v>
      </c>
      <c r="B335" s="199">
        <v>2080503</v>
      </c>
      <c r="C335" s="199" t="s">
        <v>377</v>
      </c>
      <c r="D335" s="200"/>
      <c r="E335" s="195"/>
      <c r="F335" s="201"/>
      <c r="G335" s="197"/>
      <c r="H335" s="201"/>
      <c r="I335" s="200"/>
      <c r="J335" s="222"/>
      <c r="K335" s="200"/>
      <c r="L335" s="200"/>
      <c r="M335" s="221"/>
      <c r="N335" s="200"/>
    </row>
    <row r="336" s="163" customFormat="1" spans="1:14">
      <c r="A336" s="192" t="s">
        <v>138</v>
      </c>
      <c r="B336" s="193">
        <v>2080505</v>
      </c>
      <c r="C336" s="193" t="s">
        <v>378</v>
      </c>
      <c r="D336" s="202">
        <v>2779</v>
      </c>
      <c r="E336" s="195">
        <v>2750</v>
      </c>
      <c r="F336" s="196">
        <v>2763</v>
      </c>
      <c r="G336" s="197">
        <f t="shared" si="55"/>
        <v>99.4242533285354</v>
      </c>
      <c r="H336" s="196">
        <v>4086</v>
      </c>
      <c r="I336" s="202">
        <f t="shared" si="51"/>
        <v>-1323</v>
      </c>
      <c r="J336" s="220">
        <f t="shared" si="52"/>
        <v>-32.3788546255507</v>
      </c>
      <c r="K336" s="202">
        <v>2916</v>
      </c>
      <c r="L336" s="202">
        <f>K336-D336</f>
        <v>137</v>
      </c>
      <c r="M336" s="221">
        <f>L336/D336*100</f>
        <v>4.92983087441526</v>
      </c>
      <c r="N336" s="202"/>
    </row>
    <row r="337" spans="1:14">
      <c r="A337" s="198" t="s">
        <v>138</v>
      </c>
      <c r="B337" s="199">
        <v>2080506</v>
      </c>
      <c r="C337" s="199" t="s">
        <v>379</v>
      </c>
      <c r="D337" s="200"/>
      <c r="E337" s="195"/>
      <c r="F337" s="201">
        <v>1633</v>
      </c>
      <c r="G337" s="197"/>
      <c r="H337" s="201">
        <v>310</v>
      </c>
      <c r="I337" s="200">
        <f t="shared" si="51"/>
        <v>1323</v>
      </c>
      <c r="J337" s="222">
        <f t="shared" si="52"/>
        <v>426.774193548387</v>
      </c>
      <c r="K337" s="200">
        <v>1458</v>
      </c>
      <c r="L337" s="200">
        <f>K337-D337</f>
        <v>1458</v>
      </c>
      <c r="M337" s="221"/>
      <c r="N337" s="200"/>
    </row>
    <row r="338" spans="1:14">
      <c r="A338" s="198" t="s">
        <v>138</v>
      </c>
      <c r="B338" s="199">
        <v>2080507</v>
      </c>
      <c r="C338" s="199" t="s">
        <v>380</v>
      </c>
      <c r="D338" s="200"/>
      <c r="E338" s="195">
        <v>318</v>
      </c>
      <c r="F338" s="201">
        <v>404</v>
      </c>
      <c r="G338" s="197"/>
      <c r="H338" s="201">
        <v>364</v>
      </c>
      <c r="I338" s="200">
        <f t="shared" si="51"/>
        <v>40</v>
      </c>
      <c r="J338" s="222">
        <f t="shared" si="52"/>
        <v>10.989010989011</v>
      </c>
      <c r="K338" s="200">
        <v>404</v>
      </c>
      <c r="L338" s="200">
        <f>K338-D338</f>
        <v>404</v>
      </c>
      <c r="M338" s="221"/>
      <c r="N338" s="200"/>
    </row>
    <row r="339" spans="1:14">
      <c r="A339" s="198" t="s">
        <v>138</v>
      </c>
      <c r="B339" s="199">
        <v>2080508</v>
      </c>
      <c r="C339" s="199" t="s">
        <v>381</v>
      </c>
      <c r="D339" s="200">
        <v>1435</v>
      </c>
      <c r="E339" s="195">
        <v>350</v>
      </c>
      <c r="F339" s="201"/>
      <c r="G339" s="197"/>
      <c r="H339" s="201">
        <v>356</v>
      </c>
      <c r="I339" s="200">
        <f t="shared" si="51"/>
        <v>-356</v>
      </c>
      <c r="J339" s="222">
        <f t="shared" si="52"/>
        <v>-100</v>
      </c>
      <c r="K339" s="200"/>
      <c r="L339" s="200">
        <f>K339-D339</f>
        <v>-1435</v>
      </c>
      <c r="M339" s="221">
        <f>L339/D339*100</f>
        <v>-100</v>
      </c>
      <c r="N339" s="200"/>
    </row>
    <row r="340" spans="1:14">
      <c r="A340" s="198" t="s">
        <v>138</v>
      </c>
      <c r="B340" s="199">
        <v>2080599</v>
      </c>
      <c r="C340" s="199" t="s">
        <v>382</v>
      </c>
      <c r="D340" s="200"/>
      <c r="E340" s="195"/>
      <c r="F340" s="201"/>
      <c r="G340" s="197"/>
      <c r="H340" s="201"/>
      <c r="I340" s="200"/>
      <c r="J340" s="222"/>
      <c r="K340" s="200"/>
      <c r="L340" s="200"/>
      <c r="M340" s="221"/>
      <c r="N340" s="200"/>
    </row>
    <row r="341" s="162" customFormat="1" spans="1:14">
      <c r="A341" s="186" t="s">
        <v>136</v>
      </c>
      <c r="B341" s="187">
        <v>20806</v>
      </c>
      <c r="C341" s="188" t="s">
        <v>383</v>
      </c>
      <c r="D341" s="189"/>
      <c r="E341" s="190">
        <f>SUM(E342:E342)</f>
        <v>0</v>
      </c>
      <c r="F341" s="189"/>
      <c r="G341" s="191"/>
      <c r="H341" s="189"/>
      <c r="I341" s="189"/>
      <c r="J341" s="218"/>
      <c r="K341" s="189"/>
      <c r="L341" s="189"/>
      <c r="M341" s="191"/>
      <c r="N341" s="219"/>
    </row>
    <row r="342" spans="1:14">
      <c r="A342" s="198" t="s">
        <v>138</v>
      </c>
      <c r="B342" s="199">
        <v>2080699</v>
      </c>
      <c r="C342" s="199" t="s">
        <v>384</v>
      </c>
      <c r="D342" s="200"/>
      <c r="E342" s="195"/>
      <c r="F342" s="201"/>
      <c r="G342" s="197"/>
      <c r="H342" s="201"/>
      <c r="I342" s="200"/>
      <c r="J342" s="222"/>
      <c r="K342" s="200"/>
      <c r="L342" s="200"/>
      <c r="M342" s="221"/>
      <c r="N342" s="200"/>
    </row>
    <row r="343" s="162" customFormat="1" spans="1:14">
      <c r="A343" s="186" t="s">
        <v>136</v>
      </c>
      <c r="B343" s="187">
        <v>20807</v>
      </c>
      <c r="C343" s="188" t="s">
        <v>385</v>
      </c>
      <c r="D343" s="189">
        <f>SUM(D344:D352)</f>
        <v>443</v>
      </c>
      <c r="E343" s="190">
        <f t="shared" ref="E343:H343" si="56">SUM(E344:E352)</f>
        <v>374</v>
      </c>
      <c r="F343" s="189">
        <f t="shared" si="56"/>
        <v>511</v>
      </c>
      <c r="G343" s="191">
        <f t="shared" si="55"/>
        <v>115.349887133183</v>
      </c>
      <c r="H343" s="189">
        <f t="shared" si="56"/>
        <v>588</v>
      </c>
      <c r="I343" s="189">
        <f t="shared" si="51"/>
        <v>-77</v>
      </c>
      <c r="J343" s="218">
        <f t="shared" si="52"/>
        <v>-13.0952380952381</v>
      </c>
      <c r="K343" s="189">
        <f>SUM(K344:K352)</f>
        <v>510</v>
      </c>
      <c r="L343" s="189">
        <f>K343-D343</f>
        <v>67</v>
      </c>
      <c r="M343" s="191">
        <f>L343/D343*100</f>
        <v>15.1241534988713</v>
      </c>
      <c r="N343" s="219"/>
    </row>
    <row r="344" spans="1:14">
      <c r="A344" s="198" t="s">
        <v>138</v>
      </c>
      <c r="B344" s="199">
        <v>2080701</v>
      </c>
      <c r="C344" s="199" t="s">
        <v>386</v>
      </c>
      <c r="D344" s="200"/>
      <c r="E344" s="195"/>
      <c r="F344" s="201"/>
      <c r="G344" s="197"/>
      <c r="H344" s="201">
        <v>6</v>
      </c>
      <c r="I344" s="200">
        <f t="shared" si="51"/>
        <v>-6</v>
      </c>
      <c r="J344" s="222">
        <f t="shared" si="52"/>
        <v>-100</v>
      </c>
      <c r="K344" s="200"/>
      <c r="L344" s="200"/>
      <c r="M344" s="221"/>
      <c r="N344" s="200"/>
    </row>
    <row r="345" spans="1:14">
      <c r="A345" s="198" t="s">
        <v>138</v>
      </c>
      <c r="B345" s="199">
        <v>2080702</v>
      </c>
      <c r="C345" s="199" t="s">
        <v>387</v>
      </c>
      <c r="D345" s="200"/>
      <c r="E345" s="195"/>
      <c r="F345" s="201"/>
      <c r="G345" s="197"/>
      <c r="H345" s="201"/>
      <c r="I345" s="200"/>
      <c r="J345" s="222"/>
      <c r="K345" s="200"/>
      <c r="L345" s="200"/>
      <c r="M345" s="221"/>
      <c r="N345" s="200"/>
    </row>
    <row r="346" spans="1:14">
      <c r="A346" s="198" t="s">
        <v>138</v>
      </c>
      <c r="B346" s="199">
        <v>2080704</v>
      </c>
      <c r="C346" s="199" t="s">
        <v>388</v>
      </c>
      <c r="D346" s="200"/>
      <c r="E346" s="195"/>
      <c r="F346" s="201"/>
      <c r="G346" s="197"/>
      <c r="H346" s="201"/>
      <c r="I346" s="200"/>
      <c r="J346" s="222"/>
      <c r="K346" s="200"/>
      <c r="L346" s="200"/>
      <c r="M346" s="221"/>
      <c r="N346" s="200"/>
    </row>
    <row r="347" spans="1:14">
      <c r="A347" s="198" t="s">
        <v>138</v>
      </c>
      <c r="B347" s="199">
        <v>2080705</v>
      </c>
      <c r="C347" s="199" t="s">
        <v>389</v>
      </c>
      <c r="D347" s="200"/>
      <c r="E347" s="195"/>
      <c r="F347" s="201">
        <v>511</v>
      </c>
      <c r="G347" s="197"/>
      <c r="H347" s="201">
        <v>396</v>
      </c>
      <c r="I347" s="200">
        <f t="shared" si="51"/>
        <v>115</v>
      </c>
      <c r="J347" s="222">
        <f t="shared" si="52"/>
        <v>29.040404040404</v>
      </c>
      <c r="K347" s="200">
        <v>510</v>
      </c>
      <c r="L347" s="200">
        <f>K347-D347</f>
        <v>510</v>
      </c>
      <c r="M347" s="221"/>
      <c r="N347" s="200"/>
    </row>
    <row r="348" spans="1:14">
      <c r="A348" s="198" t="s">
        <v>138</v>
      </c>
      <c r="B348" s="199">
        <v>2080709</v>
      </c>
      <c r="C348" s="199" t="s">
        <v>390</v>
      </c>
      <c r="D348" s="200"/>
      <c r="E348" s="195"/>
      <c r="F348" s="201"/>
      <c r="G348" s="197"/>
      <c r="H348" s="201"/>
      <c r="I348" s="200"/>
      <c r="J348" s="222"/>
      <c r="K348" s="200"/>
      <c r="L348" s="200"/>
      <c r="M348" s="221"/>
      <c r="N348" s="200"/>
    </row>
    <row r="349" spans="1:14">
      <c r="A349" s="198" t="s">
        <v>138</v>
      </c>
      <c r="B349" s="199">
        <v>2080711</v>
      </c>
      <c r="C349" s="199" t="s">
        <v>391</v>
      </c>
      <c r="D349" s="200">
        <v>443</v>
      </c>
      <c r="E349" s="195">
        <v>374</v>
      </c>
      <c r="F349" s="201"/>
      <c r="G349" s="197"/>
      <c r="H349" s="201">
        <v>186</v>
      </c>
      <c r="I349" s="200">
        <f t="shared" si="51"/>
        <v>-186</v>
      </c>
      <c r="J349" s="222">
        <f t="shared" si="52"/>
        <v>-100</v>
      </c>
      <c r="K349" s="200"/>
      <c r="L349" s="200">
        <f>K349-D349</f>
        <v>-443</v>
      </c>
      <c r="M349" s="221">
        <f>L349/D349*100</f>
        <v>-100</v>
      </c>
      <c r="N349" s="200"/>
    </row>
    <row r="350" spans="1:14">
      <c r="A350" s="198" t="s">
        <v>138</v>
      </c>
      <c r="B350" s="199">
        <v>2080712</v>
      </c>
      <c r="C350" s="199" t="s">
        <v>392</v>
      </c>
      <c r="D350" s="200"/>
      <c r="E350" s="195"/>
      <c r="F350" s="201"/>
      <c r="G350" s="197"/>
      <c r="H350" s="201"/>
      <c r="I350" s="200"/>
      <c r="J350" s="222"/>
      <c r="K350" s="200"/>
      <c r="L350" s="200"/>
      <c r="M350" s="221"/>
      <c r="N350" s="200"/>
    </row>
    <row r="351" spans="1:14">
      <c r="A351" s="198" t="s">
        <v>138</v>
      </c>
      <c r="B351" s="199">
        <v>2080713</v>
      </c>
      <c r="C351" s="199" t="s">
        <v>393</v>
      </c>
      <c r="D351" s="200"/>
      <c r="E351" s="195"/>
      <c r="F351" s="201"/>
      <c r="G351" s="197"/>
      <c r="H351" s="201"/>
      <c r="I351" s="200"/>
      <c r="J351" s="222"/>
      <c r="K351" s="200"/>
      <c r="L351" s="200"/>
      <c r="M351" s="221"/>
      <c r="N351" s="200"/>
    </row>
    <row r="352" spans="1:14">
      <c r="A352" s="198" t="s">
        <v>138</v>
      </c>
      <c r="B352" s="199">
        <v>2080799</v>
      </c>
      <c r="C352" s="199" t="s">
        <v>394</v>
      </c>
      <c r="D352" s="200"/>
      <c r="E352" s="195"/>
      <c r="F352" s="201"/>
      <c r="G352" s="197"/>
      <c r="H352" s="201"/>
      <c r="I352" s="200"/>
      <c r="J352" s="222"/>
      <c r="K352" s="200"/>
      <c r="L352" s="200"/>
      <c r="M352" s="221"/>
      <c r="N352" s="200"/>
    </row>
    <row r="353" s="162" customFormat="1" spans="1:14">
      <c r="A353" s="186" t="s">
        <v>136</v>
      </c>
      <c r="B353" s="187">
        <v>20808</v>
      </c>
      <c r="C353" s="188" t="s">
        <v>395</v>
      </c>
      <c r="D353" s="189">
        <f>SUM(D354:D361)</f>
        <v>297</v>
      </c>
      <c r="E353" s="190">
        <f t="shared" ref="E353:H353" si="57">SUM(E354:E361)</f>
        <v>203</v>
      </c>
      <c r="F353" s="189">
        <f t="shared" si="57"/>
        <v>496</v>
      </c>
      <c r="G353" s="191">
        <f t="shared" si="55"/>
        <v>167.003367003367</v>
      </c>
      <c r="H353" s="189">
        <f t="shared" si="57"/>
        <v>429</v>
      </c>
      <c r="I353" s="189">
        <f t="shared" si="51"/>
        <v>67</v>
      </c>
      <c r="J353" s="218">
        <f t="shared" si="52"/>
        <v>15.6177156177156</v>
      </c>
      <c r="K353" s="189">
        <f>SUM(K354:K361)</f>
        <v>492</v>
      </c>
      <c r="L353" s="189">
        <f>K353-D353</f>
        <v>195</v>
      </c>
      <c r="M353" s="191">
        <f>L353/D353*100</f>
        <v>65.6565656565657</v>
      </c>
      <c r="N353" s="219"/>
    </row>
    <row r="354" spans="1:14">
      <c r="A354" s="198" t="s">
        <v>138</v>
      </c>
      <c r="B354" s="199">
        <v>2080801</v>
      </c>
      <c r="C354" s="199" t="s">
        <v>396</v>
      </c>
      <c r="D354" s="200"/>
      <c r="E354" s="195"/>
      <c r="F354" s="201">
        <v>23</v>
      </c>
      <c r="G354" s="197"/>
      <c r="H354" s="201"/>
      <c r="I354" s="200">
        <f t="shared" si="51"/>
        <v>23</v>
      </c>
      <c r="J354" s="222"/>
      <c r="K354" s="200">
        <v>230</v>
      </c>
      <c r="L354" s="200"/>
      <c r="M354" s="221"/>
      <c r="N354" s="200"/>
    </row>
    <row r="355" spans="1:14">
      <c r="A355" s="198" t="s">
        <v>138</v>
      </c>
      <c r="B355" s="199">
        <v>2080802</v>
      </c>
      <c r="C355" s="199" t="s">
        <v>397</v>
      </c>
      <c r="D355" s="200"/>
      <c r="E355" s="195"/>
      <c r="F355" s="201"/>
      <c r="G355" s="197"/>
      <c r="H355" s="201"/>
      <c r="I355" s="200"/>
      <c r="J355" s="222"/>
      <c r="K355" s="200"/>
      <c r="L355" s="200"/>
      <c r="M355" s="221"/>
      <c r="N355" s="200"/>
    </row>
    <row r="356" spans="1:14">
      <c r="A356" s="198" t="s">
        <v>138</v>
      </c>
      <c r="B356" s="199">
        <v>2080803</v>
      </c>
      <c r="C356" s="199" t="s">
        <v>398</v>
      </c>
      <c r="D356" s="200"/>
      <c r="E356" s="195">
        <v>2</v>
      </c>
      <c r="F356" s="201">
        <v>3</v>
      </c>
      <c r="G356" s="197"/>
      <c r="H356" s="201">
        <v>17</v>
      </c>
      <c r="I356" s="200">
        <f t="shared" si="51"/>
        <v>-14</v>
      </c>
      <c r="J356" s="222">
        <f t="shared" si="52"/>
        <v>-82.3529411764706</v>
      </c>
      <c r="K356" s="200">
        <v>2</v>
      </c>
      <c r="L356" s="200">
        <f>K356-D356</f>
        <v>2</v>
      </c>
      <c r="M356" s="221"/>
      <c r="N356" s="200"/>
    </row>
    <row r="357" s="163" customFormat="1" spans="1:14">
      <c r="A357" s="192" t="s">
        <v>138</v>
      </c>
      <c r="B357" s="193">
        <v>2080805</v>
      </c>
      <c r="C357" s="193" t="s">
        <v>399</v>
      </c>
      <c r="D357" s="202">
        <f>159+43+36+59</f>
        <v>297</v>
      </c>
      <c r="E357" s="195">
        <v>194</v>
      </c>
      <c r="F357" s="196">
        <v>417</v>
      </c>
      <c r="G357" s="197">
        <f t="shared" si="55"/>
        <v>140.40404040404</v>
      </c>
      <c r="H357" s="196">
        <v>312</v>
      </c>
      <c r="I357" s="202">
        <f t="shared" si="51"/>
        <v>105</v>
      </c>
      <c r="J357" s="220">
        <f t="shared" si="52"/>
        <v>33.6538461538462</v>
      </c>
      <c r="K357" s="202">
        <v>260</v>
      </c>
      <c r="L357" s="202">
        <f>K357-D357</f>
        <v>-37</v>
      </c>
      <c r="M357" s="221">
        <f>L357/D357*100</f>
        <v>-12.4579124579125</v>
      </c>
      <c r="N357" s="202"/>
    </row>
    <row r="358" spans="1:14">
      <c r="A358" s="198" t="s">
        <v>138</v>
      </c>
      <c r="B358" s="199">
        <v>2080806</v>
      </c>
      <c r="C358" s="199" t="s">
        <v>400</v>
      </c>
      <c r="D358" s="200"/>
      <c r="E358" s="195"/>
      <c r="F358" s="201"/>
      <c r="G358" s="197"/>
      <c r="H358" s="201"/>
      <c r="I358" s="200"/>
      <c r="J358" s="222"/>
      <c r="K358" s="200"/>
      <c r="L358" s="200"/>
      <c r="M358" s="221"/>
      <c r="N358" s="200"/>
    </row>
    <row r="359" spans="1:14">
      <c r="A359" s="198" t="s">
        <v>138</v>
      </c>
      <c r="B359" s="199">
        <v>2080807</v>
      </c>
      <c r="C359" s="199" t="s">
        <v>401</v>
      </c>
      <c r="D359" s="200"/>
      <c r="E359" s="195"/>
      <c r="F359" s="201"/>
      <c r="G359" s="197"/>
      <c r="H359" s="201"/>
      <c r="I359" s="200"/>
      <c r="J359" s="222"/>
      <c r="K359" s="200"/>
      <c r="L359" s="200"/>
      <c r="M359" s="221"/>
      <c r="N359" s="200"/>
    </row>
    <row r="360" spans="1:14">
      <c r="A360" s="198" t="s">
        <v>138</v>
      </c>
      <c r="B360" s="199">
        <v>2080808</v>
      </c>
      <c r="C360" s="199" t="s">
        <v>402</v>
      </c>
      <c r="D360" s="200"/>
      <c r="E360" s="195"/>
      <c r="F360" s="201"/>
      <c r="G360" s="197"/>
      <c r="H360" s="201"/>
      <c r="I360" s="200"/>
      <c r="J360" s="222"/>
      <c r="K360" s="200"/>
      <c r="L360" s="200"/>
      <c r="M360" s="221"/>
      <c r="N360" s="200"/>
    </row>
    <row r="361" spans="1:14">
      <c r="A361" s="198" t="s">
        <v>138</v>
      </c>
      <c r="B361" s="199">
        <v>2080899</v>
      </c>
      <c r="C361" s="199" t="s">
        <v>403</v>
      </c>
      <c r="D361" s="200"/>
      <c r="E361" s="195">
        <v>7</v>
      </c>
      <c r="F361" s="201">
        <v>53</v>
      </c>
      <c r="G361" s="197"/>
      <c r="H361" s="201">
        <v>100</v>
      </c>
      <c r="I361" s="200">
        <f t="shared" si="51"/>
        <v>-47</v>
      </c>
      <c r="J361" s="222">
        <f t="shared" si="52"/>
        <v>-47</v>
      </c>
      <c r="K361" s="200"/>
      <c r="L361" s="200"/>
      <c r="M361" s="221"/>
      <c r="N361" s="200"/>
    </row>
    <row r="362" s="162" customFormat="1" spans="1:14">
      <c r="A362" s="186" t="s">
        <v>136</v>
      </c>
      <c r="B362" s="187">
        <v>20809</v>
      </c>
      <c r="C362" s="188" t="s">
        <v>404</v>
      </c>
      <c r="D362" s="189">
        <f>SUM(D363:D365)</f>
        <v>4</v>
      </c>
      <c r="E362" s="190">
        <f>SUM(E363:E365)</f>
        <v>11</v>
      </c>
      <c r="F362" s="189">
        <f>SUM(F363:F365)</f>
        <v>26</v>
      </c>
      <c r="G362" s="191">
        <f t="shared" si="55"/>
        <v>650</v>
      </c>
      <c r="H362" s="189">
        <f>SUM(H363:H365)</f>
        <v>36</v>
      </c>
      <c r="I362" s="189">
        <f t="shared" si="51"/>
        <v>-10</v>
      </c>
      <c r="J362" s="218">
        <f t="shared" si="52"/>
        <v>-27.7777777777778</v>
      </c>
      <c r="K362" s="189">
        <f>SUM(K363:K365)</f>
        <v>8</v>
      </c>
      <c r="L362" s="189">
        <f>K362-D362</f>
        <v>4</v>
      </c>
      <c r="M362" s="191">
        <f>L362/D362*100</f>
        <v>100</v>
      </c>
      <c r="N362" s="219"/>
    </row>
    <row r="363" spans="1:14">
      <c r="A363" s="198" t="s">
        <v>138</v>
      </c>
      <c r="B363" s="199">
        <v>2080901</v>
      </c>
      <c r="C363" s="199" t="s">
        <v>405</v>
      </c>
      <c r="D363" s="200"/>
      <c r="E363" s="195">
        <v>8</v>
      </c>
      <c r="F363" s="201">
        <v>22</v>
      </c>
      <c r="G363" s="197"/>
      <c r="H363" s="201">
        <v>26</v>
      </c>
      <c r="I363" s="200">
        <f t="shared" si="51"/>
        <v>-4</v>
      </c>
      <c r="J363" s="222">
        <f t="shared" si="52"/>
        <v>-15.3846153846154</v>
      </c>
      <c r="K363" s="200">
        <v>8</v>
      </c>
      <c r="L363" s="200">
        <f>K363-D363</f>
        <v>8</v>
      </c>
      <c r="M363" s="221"/>
      <c r="N363" s="200"/>
    </row>
    <row r="364" s="163" customFormat="1" spans="1:14">
      <c r="A364" s="192" t="s">
        <v>138</v>
      </c>
      <c r="B364" s="193">
        <v>2080905</v>
      </c>
      <c r="C364" s="193" t="s">
        <v>406</v>
      </c>
      <c r="D364" s="202">
        <v>4</v>
      </c>
      <c r="E364" s="195"/>
      <c r="F364" s="196">
        <v>3</v>
      </c>
      <c r="G364" s="197">
        <f t="shared" si="55"/>
        <v>75</v>
      </c>
      <c r="H364" s="196">
        <v>1</v>
      </c>
      <c r="I364" s="202">
        <f t="shared" si="51"/>
        <v>2</v>
      </c>
      <c r="J364" s="220">
        <f t="shared" si="52"/>
        <v>200</v>
      </c>
      <c r="K364" s="202"/>
      <c r="L364" s="202">
        <f>K364-D364</f>
        <v>-4</v>
      </c>
      <c r="M364" s="221">
        <f>L364/D364*100</f>
        <v>-100</v>
      </c>
      <c r="N364" s="202"/>
    </row>
    <row r="365" spans="1:14">
      <c r="A365" s="198" t="s">
        <v>138</v>
      </c>
      <c r="B365" s="199">
        <v>2080999</v>
      </c>
      <c r="C365" s="199" t="s">
        <v>407</v>
      </c>
      <c r="D365" s="200"/>
      <c r="E365" s="195">
        <v>3</v>
      </c>
      <c r="F365" s="201">
        <v>1</v>
      </c>
      <c r="G365" s="197"/>
      <c r="H365" s="201">
        <v>9</v>
      </c>
      <c r="I365" s="200">
        <f t="shared" si="51"/>
        <v>-8</v>
      </c>
      <c r="J365" s="222">
        <f t="shared" si="52"/>
        <v>-88.8888888888889</v>
      </c>
      <c r="K365" s="200"/>
      <c r="L365" s="200"/>
      <c r="M365" s="221"/>
      <c r="N365" s="200"/>
    </row>
    <row r="366" s="162" customFormat="1" spans="1:14">
      <c r="A366" s="186" t="s">
        <v>136</v>
      </c>
      <c r="B366" s="187">
        <v>20810</v>
      </c>
      <c r="C366" s="188" t="s">
        <v>408</v>
      </c>
      <c r="D366" s="189">
        <f>SUM(D367:D369)</f>
        <v>59</v>
      </c>
      <c r="E366" s="190">
        <f>SUM(E367:E369)</f>
        <v>75</v>
      </c>
      <c r="F366" s="189">
        <f>SUM(F367:F369)</f>
        <v>124</v>
      </c>
      <c r="G366" s="191">
        <f t="shared" si="55"/>
        <v>210.169491525424</v>
      </c>
      <c r="H366" s="189">
        <f>SUM(H367:H369)</f>
        <v>122</v>
      </c>
      <c r="I366" s="189">
        <f t="shared" si="51"/>
        <v>2</v>
      </c>
      <c r="J366" s="218">
        <f t="shared" si="52"/>
        <v>1.63934426229508</v>
      </c>
      <c r="K366" s="189">
        <f>SUM(K367:K369)</f>
        <v>57</v>
      </c>
      <c r="L366" s="189">
        <f>K366-D366</f>
        <v>-2</v>
      </c>
      <c r="M366" s="191">
        <f>L366/D366*100</f>
        <v>-3.38983050847458</v>
      </c>
      <c r="N366" s="219"/>
    </row>
    <row r="367" spans="1:14">
      <c r="A367" s="198" t="s">
        <v>138</v>
      </c>
      <c r="B367" s="199">
        <v>2081001</v>
      </c>
      <c r="C367" s="199" t="s">
        <v>409</v>
      </c>
      <c r="D367" s="200"/>
      <c r="E367" s="195"/>
      <c r="F367" s="201"/>
      <c r="G367" s="197"/>
      <c r="H367" s="201"/>
      <c r="I367" s="200"/>
      <c r="J367" s="222"/>
      <c r="K367" s="200"/>
      <c r="L367" s="200"/>
      <c r="M367" s="221"/>
      <c r="N367" s="200"/>
    </row>
    <row r="368" s="163" customFormat="1" spans="1:14">
      <c r="A368" s="192" t="s">
        <v>138</v>
      </c>
      <c r="B368" s="193">
        <v>2081002</v>
      </c>
      <c r="C368" s="193" t="s">
        <v>410</v>
      </c>
      <c r="D368" s="202">
        <v>59</v>
      </c>
      <c r="E368" s="195">
        <v>59</v>
      </c>
      <c r="F368" s="196">
        <v>107</v>
      </c>
      <c r="G368" s="197">
        <f t="shared" si="55"/>
        <v>181.35593220339</v>
      </c>
      <c r="H368" s="196">
        <v>104</v>
      </c>
      <c r="I368" s="202">
        <f t="shared" si="51"/>
        <v>3</v>
      </c>
      <c r="J368" s="220">
        <f t="shared" si="52"/>
        <v>2.88461538461538</v>
      </c>
      <c r="K368" s="202">
        <v>57</v>
      </c>
      <c r="L368" s="202">
        <f>K368-D368</f>
        <v>-2</v>
      </c>
      <c r="M368" s="221">
        <f>L368/D368*100</f>
        <v>-3.38983050847458</v>
      </c>
      <c r="N368" s="202"/>
    </row>
    <row r="369" spans="1:14">
      <c r="A369" s="198" t="s">
        <v>138</v>
      </c>
      <c r="B369" s="199">
        <v>2081099</v>
      </c>
      <c r="C369" s="199" t="s">
        <v>411</v>
      </c>
      <c r="D369" s="200"/>
      <c r="E369" s="195">
        <v>16</v>
      </c>
      <c r="F369" s="201">
        <v>17</v>
      </c>
      <c r="G369" s="197"/>
      <c r="H369" s="201">
        <v>18</v>
      </c>
      <c r="I369" s="200">
        <f t="shared" si="51"/>
        <v>-1</v>
      </c>
      <c r="J369" s="222">
        <f t="shared" si="52"/>
        <v>-5.55555555555556</v>
      </c>
      <c r="K369" s="200"/>
      <c r="L369" s="200"/>
      <c r="M369" s="221"/>
      <c r="N369" s="200"/>
    </row>
    <row r="370" s="162" customFormat="1" spans="1:14">
      <c r="A370" s="186" t="s">
        <v>136</v>
      </c>
      <c r="B370" s="187">
        <v>20811</v>
      </c>
      <c r="C370" s="188" t="s">
        <v>412</v>
      </c>
      <c r="D370" s="189">
        <f>SUM(D371:D378)</f>
        <v>13</v>
      </c>
      <c r="E370" s="190">
        <f t="shared" ref="E370:H370" si="58">SUM(E371:E378)</f>
        <v>124</v>
      </c>
      <c r="F370" s="189">
        <f t="shared" si="58"/>
        <v>140</v>
      </c>
      <c r="G370" s="191">
        <f t="shared" si="55"/>
        <v>1076.92307692308</v>
      </c>
      <c r="H370" s="189">
        <f t="shared" si="58"/>
        <v>206</v>
      </c>
      <c r="I370" s="189">
        <f t="shared" si="51"/>
        <v>-66</v>
      </c>
      <c r="J370" s="218">
        <f t="shared" si="52"/>
        <v>-32.0388349514563</v>
      </c>
      <c r="K370" s="189">
        <f>SUM(K371:K378)</f>
        <v>13</v>
      </c>
      <c r="L370" s="189"/>
      <c r="M370" s="191"/>
      <c r="N370" s="219"/>
    </row>
    <row r="371" s="163" customFormat="1" spans="1:14">
      <c r="A371" s="192" t="s">
        <v>138</v>
      </c>
      <c r="B371" s="193">
        <v>2081101</v>
      </c>
      <c r="C371" s="193" t="s">
        <v>139</v>
      </c>
      <c r="D371" s="202">
        <v>11</v>
      </c>
      <c r="E371" s="195">
        <v>10</v>
      </c>
      <c r="F371" s="196">
        <v>10</v>
      </c>
      <c r="G371" s="197">
        <f t="shared" si="55"/>
        <v>90.9090909090909</v>
      </c>
      <c r="H371" s="196">
        <v>11</v>
      </c>
      <c r="I371" s="202">
        <f t="shared" si="51"/>
        <v>-1</v>
      </c>
      <c r="J371" s="220">
        <f t="shared" si="52"/>
        <v>-9.09090909090909</v>
      </c>
      <c r="K371" s="202">
        <v>11</v>
      </c>
      <c r="L371" s="202"/>
      <c r="M371" s="221"/>
      <c r="N371" s="202"/>
    </row>
    <row r="372" spans="1:14">
      <c r="A372" s="198" t="s">
        <v>138</v>
      </c>
      <c r="B372" s="199">
        <v>2081102</v>
      </c>
      <c r="C372" s="199" t="s">
        <v>140</v>
      </c>
      <c r="D372" s="200"/>
      <c r="E372" s="195"/>
      <c r="F372" s="201"/>
      <c r="G372" s="197"/>
      <c r="H372" s="201">
        <v>5</v>
      </c>
      <c r="I372" s="200">
        <f t="shared" si="51"/>
        <v>-5</v>
      </c>
      <c r="J372" s="222">
        <f t="shared" si="52"/>
        <v>-100</v>
      </c>
      <c r="K372" s="200"/>
      <c r="L372" s="200"/>
      <c r="M372" s="221"/>
      <c r="N372" s="200"/>
    </row>
    <row r="373" spans="1:14">
      <c r="A373" s="198" t="s">
        <v>138</v>
      </c>
      <c r="B373" s="199">
        <v>2081103</v>
      </c>
      <c r="C373" s="199" t="s">
        <v>141</v>
      </c>
      <c r="D373" s="200"/>
      <c r="E373" s="195"/>
      <c r="F373" s="201"/>
      <c r="G373" s="197"/>
      <c r="H373" s="201">
        <v>5</v>
      </c>
      <c r="I373" s="200">
        <f t="shared" si="51"/>
        <v>-5</v>
      </c>
      <c r="J373" s="222">
        <f t="shared" si="52"/>
        <v>-100</v>
      </c>
      <c r="K373" s="200"/>
      <c r="L373" s="200"/>
      <c r="M373" s="221"/>
      <c r="N373" s="200"/>
    </row>
    <row r="374" spans="1:14">
      <c r="A374" s="198" t="s">
        <v>138</v>
      </c>
      <c r="B374" s="199">
        <v>2081104</v>
      </c>
      <c r="C374" s="199" t="s">
        <v>413</v>
      </c>
      <c r="D374" s="200"/>
      <c r="E374" s="195">
        <v>10</v>
      </c>
      <c r="F374" s="201">
        <v>17</v>
      </c>
      <c r="G374" s="197"/>
      <c r="H374" s="201">
        <v>5</v>
      </c>
      <c r="I374" s="200">
        <f t="shared" si="51"/>
        <v>12</v>
      </c>
      <c r="J374" s="222">
        <f t="shared" si="52"/>
        <v>240</v>
      </c>
      <c r="K374" s="200"/>
      <c r="L374" s="200"/>
      <c r="M374" s="221"/>
      <c r="N374" s="200"/>
    </row>
    <row r="375" spans="1:14">
      <c r="A375" s="198" t="s">
        <v>138</v>
      </c>
      <c r="B375" s="199">
        <v>2081105</v>
      </c>
      <c r="C375" s="199" t="s">
        <v>414</v>
      </c>
      <c r="D375" s="200"/>
      <c r="E375" s="195">
        <v>34</v>
      </c>
      <c r="F375" s="201">
        <v>82</v>
      </c>
      <c r="G375" s="197"/>
      <c r="H375" s="201">
        <v>124</v>
      </c>
      <c r="I375" s="200">
        <f t="shared" si="51"/>
        <v>-42</v>
      </c>
      <c r="J375" s="222">
        <f t="shared" si="52"/>
        <v>-33.8709677419355</v>
      </c>
      <c r="K375" s="200"/>
      <c r="L375" s="200"/>
      <c r="M375" s="221"/>
      <c r="N375" s="200"/>
    </row>
    <row r="376" spans="1:14">
      <c r="A376" s="198" t="s">
        <v>138</v>
      </c>
      <c r="B376" s="199">
        <v>2081106</v>
      </c>
      <c r="C376" s="199" t="s">
        <v>415</v>
      </c>
      <c r="D376" s="200"/>
      <c r="E376" s="195"/>
      <c r="F376" s="201"/>
      <c r="G376" s="197"/>
      <c r="H376" s="201"/>
      <c r="I376" s="200"/>
      <c r="J376" s="222"/>
      <c r="K376" s="200"/>
      <c r="L376" s="200"/>
      <c r="M376" s="221"/>
      <c r="N376" s="200"/>
    </row>
    <row r="377" spans="1:14">
      <c r="A377" s="198" t="s">
        <v>138</v>
      </c>
      <c r="B377" s="199">
        <v>2081107</v>
      </c>
      <c r="C377" s="199" t="s">
        <v>416</v>
      </c>
      <c r="D377" s="200"/>
      <c r="E377" s="195">
        <v>38</v>
      </c>
      <c r="F377" s="201"/>
      <c r="G377" s="197"/>
      <c r="H377" s="201"/>
      <c r="I377" s="200"/>
      <c r="J377" s="222"/>
      <c r="K377" s="200"/>
      <c r="L377" s="200"/>
      <c r="M377" s="221"/>
      <c r="N377" s="200"/>
    </row>
    <row r="378" s="163" customFormat="1" spans="1:14">
      <c r="A378" s="192" t="s">
        <v>138</v>
      </c>
      <c r="B378" s="193">
        <v>2081199</v>
      </c>
      <c r="C378" s="193" t="s">
        <v>417</v>
      </c>
      <c r="D378" s="202">
        <v>2</v>
      </c>
      <c r="E378" s="195">
        <v>32</v>
      </c>
      <c r="F378" s="196">
        <v>31</v>
      </c>
      <c r="G378" s="197">
        <f t="shared" si="55"/>
        <v>1550</v>
      </c>
      <c r="H378" s="196">
        <v>56</v>
      </c>
      <c r="I378" s="202">
        <f t="shared" si="51"/>
        <v>-25</v>
      </c>
      <c r="J378" s="220">
        <f t="shared" si="52"/>
        <v>-44.6428571428571</v>
      </c>
      <c r="K378" s="202">
        <v>2</v>
      </c>
      <c r="L378" s="202"/>
      <c r="M378" s="221"/>
      <c r="N378" s="202"/>
    </row>
    <row r="379" s="162" customFormat="1" spans="1:14">
      <c r="A379" s="186" t="s">
        <v>136</v>
      </c>
      <c r="B379" s="187">
        <v>20816</v>
      </c>
      <c r="C379" s="188" t="s">
        <v>418</v>
      </c>
      <c r="D379" s="189"/>
      <c r="E379" s="190">
        <f>SUM(E380:E380)</f>
        <v>0</v>
      </c>
      <c r="F379" s="189"/>
      <c r="G379" s="191"/>
      <c r="H379" s="189"/>
      <c r="I379" s="189"/>
      <c r="J379" s="218"/>
      <c r="K379" s="189"/>
      <c r="L379" s="189"/>
      <c r="M379" s="191"/>
      <c r="N379" s="219"/>
    </row>
    <row r="380" spans="1:14">
      <c r="A380" s="198" t="s">
        <v>138</v>
      </c>
      <c r="B380" s="199">
        <v>2081699</v>
      </c>
      <c r="C380" s="199" t="s">
        <v>419</v>
      </c>
      <c r="D380" s="200"/>
      <c r="E380" s="195"/>
      <c r="F380" s="201"/>
      <c r="G380" s="197"/>
      <c r="H380" s="201"/>
      <c r="I380" s="200"/>
      <c r="J380" s="222"/>
      <c r="K380" s="200"/>
      <c r="L380" s="200"/>
      <c r="M380" s="221"/>
      <c r="N380" s="200"/>
    </row>
    <row r="381" s="162" customFormat="1" spans="1:14">
      <c r="A381" s="186" t="s">
        <v>136</v>
      </c>
      <c r="B381" s="187">
        <v>20819</v>
      </c>
      <c r="C381" s="188" t="s">
        <v>420</v>
      </c>
      <c r="D381" s="189">
        <f>SUM(D382:D383)</f>
        <v>1070</v>
      </c>
      <c r="E381" s="190">
        <f t="shared" ref="E381:H381" si="59">SUM(E382:E383)</f>
        <v>1809</v>
      </c>
      <c r="F381" s="189">
        <f t="shared" si="59"/>
        <v>1319</v>
      </c>
      <c r="G381" s="191">
        <f t="shared" si="55"/>
        <v>123.271028037383</v>
      </c>
      <c r="H381" s="189">
        <f t="shared" si="59"/>
        <v>1975</v>
      </c>
      <c r="I381" s="189">
        <f t="shared" si="51"/>
        <v>-656</v>
      </c>
      <c r="J381" s="218">
        <f t="shared" si="52"/>
        <v>-33.2151898734177</v>
      </c>
      <c r="K381" s="189">
        <f>SUM(K382:K383)</f>
        <v>1564</v>
      </c>
      <c r="L381" s="189">
        <f>K381-D381</f>
        <v>494</v>
      </c>
      <c r="M381" s="191">
        <f>L381/D381*100</f>
        <v>46.1682242990654</v>
      </c>
      <c r="N381" s="219"/>
    </row>
    <row r="382" s="163" customFormat="1" spans="1:14">
      <c r="A382" s="192" t="s">
        <v>138</v>
      </c>
      <c r="B382" s="193">
        <v>2081901</v>
      </c>
      <c r="C382" s="193" t="s">
        <v>421</v>
      </c>
      <c r="D382" s="202">
        <v>1070</v>
      </c>
      <c r="E382" s="195">
        <v>212</v>
      </c>
      <c r="F382" s="196">
        <v>1319</v>
      </c>
      <c r="G382" s="197">
        <f t="shared" si="55"/>
        <v>123.271028037383</v>
      </c>
      <c r="H382" s="196">
        <v>1975</v>
      </c>
      <c r="I382" s="202">
        <f t="shared" si="51"/>
        <v>-656</v>
      </c>
      <c r="J382" s="220">
        <f t="shared" si="52"/>
        <v>-33.2151898734177</v>
      </c>
      <c r="K382" s="202">
        <v>1564</v>
      </c>
      <c r="L382" s="202">
        <f>K382-D382</f>
        <v>494</v>
      </c>
      <c r="M382" s="221">
        <f>L382/D382*100</f>
        <v>46.1682242990654</v>
      </c>
      <c r="N382" s="202"/>
    </row>
    <row r="383" spans="1:14">
      <c r="A383" s="198" t="s">
        <v>138</v>
      </c>
      <c r="B383" s="199">
        <v>2081902</v>
      </c>
      <c r="C383" s="199" t="s">
        <v>422</v>
      </c>
      <c r="D383" s="200"/>
      <c r="E383" s="195">
        <v>1597</v>
      </c>
      <c r="F383" s="201"/>
      <c r="G383" s="197"/>
      <c r="H383" s="201"/>
      <c r="I383" s="200"/>
      <c r="J383" s="222"/>
      <c r="K383" s="200"/>
      <c r="L383" s="200"/>
      <c r="M383" s="221"/>
      <c r="N383" s="200"/>
    </row>
    <row r="384" s="162" customFormat="1" spans="1:14">
      <c r="A384" s="186" t="s">
        <v>136</v>
      </c>
      <c r="B384" s="187">
        <v>20820</v>
      </c>
      <c r="C384" s="188" t="s">
        <v>423</v>
      </c>
      <c r="D384" s="189"/>
      <c r="E384" s="190">
        <f t="shared" ref="E384:F384" si="60">SUM(E385:E386)</f>
        <v>100</v>
      </c>
      <c r="F384" s="189">
        <f t="shared" si="60"/>
        <v>10</v>
      </c>
      <c r="G384" s="191"/>
      <c r="H384" s="189"/>
      <c r="I384" s="189">
        <f t="shared" ref="I384:I392" si="61">F384-H384</f>
        <v>10</v>
      </c>
      <c r="J384" s="218"/>
      <c r="K384" s="189"/>
      <c r="L384" s="189"/>
      <c r="M384" s="191"/>
      <c r="N384" s="219"/>
    </row>
    <row r="385" spans="1:14">
      <c r="A385" s="198" t="s">
        <v>138</v>
      </c>
      <c r="B385" s="199">
        <v>2082001</v>
      </c>
      <c r="C385" s="199" t="s">
        <v>424</v>
      </c>
      <c r="D385" s="200"/>
      <c r="E385" s="195">
        <v>100</v>
      </c>
      <c r="F385" s="201">
        <v>10</v>
      </c>
      <c r="G385" s="197"/>
      <c r="H385" s="201"/>
      <c r="I385" s="200">
        <f t="shared" si="61"/>
        <v>10</v>
      </c>
      <c r="J385" s="222"/>
      <c r="K385" s="200"/>
      <c r="L385" s="200"/>
      <c r="M385" s="221"/>
      <c r="N385" s="200"/>
    </row>
    <row r="386" spans="1:14">
      <c r="A386" s="198" t="s">
        <v>138</v>
      </c>
      <c r="B386" s="199">
        <v>2082002</v>
      </c>
      <c r="C386" s="199" t="s">
        <v>425</v>
      </c>
      <c r="D386" s="200"/>
      <c r="E386" s="195"/>
      <c r="F386" s="201"/>
      <c r="G386" s="197"/>
      <c r="H386" s="201"/>
      <c r="I386" s="200"/>
      <c r="J386" s="222"/>
      <c r="K386" s="200"/>
      <c r="L386" s="200"/>
      <c r="M386" s="221"/>
      <c r="N386" s="200"/>
    </row>
    <row r="387" s="162" customFormat="1" spans="1:14">
      <c r="A387" s="186" t="s">
        <v>136</v>
      </c>
      <c r="B387" s="187">
        <v>20821</v>
      </c>
      <c r="C387" s="188" t="s">
        <v>426</v>
      </c>
      <c r="D387" s="189"/>
      <c r="E387" s="190">
        <f t="shared" ref="E387:F387" si="62">SUM(E388:E389)</f>
        <v>488</v>
      </c>
      <c r="F387" s="189">
        <f t="shared" si="62"/>
        <v>34</v>
      </c>
      <c r="G387" s="191"/>
      <c r="H387" s="189"/>
      <c r="I387" s="189">
        <f t="shared" si="61"/>
        <v>34</v>
      </c>
      <c r="J387" s="218"/>
      <c r="K387" s="189"/>
      <c r="L387" s="189"/>
      <c r="M387" s="191"/>
      <c r="N387" s="219"/>
    </row>
    <row r="388" spans="1:14">
      <c r="A388" s="198" t="s">
        <v>138</v>
      </c>
      <c r="B388" s="199">
        <v>2082101</v>
      </c>
      <c r="C388" s="199" t="s">
        <v>427</v>
      </c>
      <c r="D388" s="200"/>
      <c r="E388" s="195"/>
      <c r="F388" s="201">
        <v>34</v>
      </c>
      <c r="G388" s="197"/>
      <c r="H388" s="201"/>
      <c r="I388" s="200">
        <f t="shared" si="61"/>
        <v>34</v>
      </c>
      <c r="J388" s="222"/>
      <c r="K388" s="200"/>
      <c r="L388" s="200"/>
      <c r="M388" s="221"/>
      <c r="N388" s="200"/>
    </row>
    <row r="389" spans="1:14">
      <c r="A389" s="198" t="s">
        <v>138</v>
      </c>
      <c r="B389" s="199">
        <v>2082102</v>
      </c>
      <c r="C389" s="199" t="s">
        <v>428</v>
      </c>
      <c r="D389" s="200"/>
      <c r="E389" s="195">
        <v>488</v>
      </c>
      <c r="F389" s="201"/>
      <c r="G389" s="197"/>
      <c r="H389" s="201"/>
      <c r="I389" s="200"/>
      <c r="J389" s="222"/>
      <c r="K389" s="200"/>
      <c r="L389" s="200"/>
      <c r="M389" s="221"/>
      <c r="N389" s="200"/>
    </row>
    <row r="390" s="162" customFormat="1" spans="1:14">
      <c r="A390" s="186" t="s">
        <v>136</v>
      </c>
      <c r="B390" s="187">
        <v>20824</v>
      </c>
      <c r="C390" s="188" t="s">
        <v>429</v>
      </c>
      <c r="D390" s="189"/>
      <c r="E390" s="190">
        <f>SUM(E391:E391)</f>
        <v>0</v>
      </c>
      <c r="F390" s="189"/>
      <c r="G390" s="191"/>
      <c r="H390" s="189"/>
      <c r="I390" s="189"/>
      <c r="J390" s="218"/>
      <c r="K390" s="189"/>
      <c r="L390" s="189"/>
      <c r="M390" s="191"/>
      <c r="N390" s="219"/>
    </row>
    <row r="391" spans="1:14">
      <c r="A391" s="198" t="s">
        <v>138</v>
      </c>
      <c r="B391" s="199">
        <v>2082402</v>
      </c>
      <c r="C391" s="199" t="s">
        <v>430</v>
      </c>
      <c r="D391" s="200"/>
      <c r="E391" s="195"/>
      <c r="F391" s="201"/>
      <c r="G391" s="197"/>
      <c r="H391" s="201"/>
      <c r="I391" s="200"/>
      <c r="J391" s="222"/>
      <c r="K391" s="200"/>
      <c r="L391" s="200"/>
      <c r="M391" s="221"/>
      <c r="N391" s="200"/>
    </row>
    <row r="392" s="162" customFormat="1" spans="1:14">
      <c r="A392" s="186" t="s">
        <v>136</v>
      </c>
      <c r="B392" s="187">
        <v>20825</v>
      </c>
      <c r="C392" s="188" t="s">
        <v>431</v>
      </c>
      <c r="D392" s="189"/>
      <c r="E392" s="190">
        <f>SUM(E393:E393)</f>
        <v>0</v>
      </c>
      <c r="F392" s="189">
        <f>SUM(F393:F393)</f>
        <v>68</v>
      </c>
      <c r="G392" s="191"/>
      <c r="H392" s="189"/>
      <c r="I392" s="189">
        <f t="shared" si="61"/>
        <v>68</v>
      </c>
      <c r="J392" s="218"/>
      <c r="K392" s="189"/>
      <c r="L392" s="189"/>
      <c r="M392" s="191"/>
      <c r="N392" s="219"/>
    </row>
    <row r="393" spans="1:14">
      <c r="A393" s="198" t="s">
        <v>138</v>
      </c>
      <c r="B393" s="199">
        <v>2082501</v>
      </c>
      <c r="C393" s="199" t="s">
        <v>432</v>
      </c>
      <c r="D393" s="200"/>
      <c r="E393" s="195"/>
      <c r="F393" s="201">
        <v>68</v>
      </c>
      <c r="G393" s="197"/>
      <c r="H393" s="201"/>
      <c r="I393" s="200">
        <f t="shared" ref="I393:I406" si="63">F393-H393</f>
        <v>68</v>
      </c>
      <c r="J393" s="222"/>
      <c r="K393" s="200"/>
      <c r="L393" s="200"/>
      <c r="M393" s="221"/>
      <c r="N393" s="200"/>
    </row>
    <row r="394" s="162" customFormat="1" spans="1:14">
      <c r="A394" s="186" t="s">
        <v>136</v>
      </c>
      <c r="B394" s="187">
        <v>20826</v>
      </c>
      <c r="C394" s="188" t="s">
        <v>433</v>
      </c>
      <c r="D394" s="189"/>
      <c r="E394" s="190">
        <f t="shared" ref="E394:H394" si="64">SUM(E395:E397)</f>
        <v>1321</v>
      </c>
      <c r="F394" s="189">
        <f t="shared" si="64"/>
        <v>1938</v>
      </c>
      <c r="G394" s="191"/>
      <c r="H394" s="189">
        <f t="shared" si="64"/>
        <v>1343</v>
      </c>
      <c r="I394" s="189">
        <f t="shared" si="63"/>
        <v>595</v>
      </c>
      <c r="J394" s="218">
        <f>I394/H394*100</f>
        <v>44.3037974683544</v>
      </c>
      <c r="K394" s="189">
        <f>SUM(K395:K397)</f>
        <v>1704</v>
      </c>
      <c r="L394" s="189">
        <f>K394-D394</f>
        <v>1704</v>
      </c>
      <c r="M394" s="191"/>
      <c r="N394" s="219"/>
    </row>
    <row r="395" spans="1:14">
      <c r="A395" s="198" t="s">
        <v>138</v>
      </c>
      <c r="B395" s="199">
        <v>2082601</v>
      </c>
      <c r="C395" s="199" t="s">
        <v>434</v>
      </c>
      <c r="D395" s="200"/>
      <c r="E395" s="195"/>
      <c r="F395" s="201"/>
      <c r="G395" s="197"/>
      <c r="H395" s="201"/>
      <c r="I395" s="200"/>
      <c r="J395" s="222"/>
      <c r="K395" s="200"/>
      <c r="L395" s="200"/>
      <c r="M395" s="221"/>
      <c r="N395" s="200"/>
    </row>
    <row r="396" spans="1:14">
      <c r="A396" s="198" t="s">
        <v>138</v>
      </c>
      <c r="B396" s="199">
        <v>2082602</v>
      </c>
      <c r="C396" s="199" t="s">
        <v>435</v>
      </c>
      <c r="D396" s="200"/>
      <c r="E396" s="195">
        <v>1321</v>
      </c>
      <c r="F396" s="201">
        <v>1938</v>
      </c>
      <c r="G396" s="197"/>
      <c r="H396" s="201">
        <v>1343</v>
      </c>
      <c r="I396" s="200">
        <f t="shared" si="63"/>
        <v>595</v>
      </c>
      <c r="J396" s="222">
        <f>I396/H396*100</f>
        <v>44.3037974683544</v>
      </c>
      <c r="K396" s="200">
        <f>142+1646-84</f>
        <v>1704</v>
      </c>
      <c r="L396" s="200">
        <f>K396-D396</f>
        <v>1704</v>
      </c>
      <c r="M396" s="221"/>
      <c r="N396" s="200"/>
    </row>
    <row r="397" spans="1:14">
      <c r="A397" s="198" t="s">
        <v>138</v>
      </c>
      <c r="B397" s="199">
        <v>2082699</v>
      </c>
      <c r="C397" s="199" t="s">
        <v>436</v>
      </c>
      <c r="D397" s="200"/>
      <c r="E397" s="195"/>
      <c r="F397" s="201"/>
      <c r="G397" s="197"/>
      <c r="H397" s="201"/>
      <c r="I397" s="200"/>
      <c r="J397" s="222"/>
      <c r="K397" s="200"/>
      <c r="L397" s="200"/>
      <c r="M397" s="221"/>
      <c r="N397" s="200"/>
    </row>
    <row r="398" s="162" customFormat="1" spans="1:14">
      <c r="A398" s="186" t="s">
        <v>136</v>
      </c>
      <c r="B398" s="187">
        <v>20827</v>
      </c>
      <c r="C398" s="188" t="s">
        <v>437</v>
      </c>
      <c r="D398" s="189"/>
      <c r="E398" s="190">
        <f t="shared" ref="E398:H398" si="65">SUM(E399:E401)</f>
        <v>301</v>
      </c>
      <c r="F398" s="189"/>
      <c r="G398" s="191"/>
      <c r="H398" s="189">
        <f t="shared" si="65"/>
        <v>228</v>
      </c>
      <c r="I398" s="189">
        <f t="shared" si="63"/>
        <v>-228</v>
      </c>
      <c r="J398" s="218">
        <f>I398/H398*100</f>
        <v>-100</v>
      </c>
      <c r="K398" s="189"/>
      <c r="L398" s="189"/>
      <c r="M398" s="191"/>
      <c r="N398" s="219"/>
    </row>
    <row r="399" spans="1:14">
      <c r="A399" s="198" t="s">
        <v>138</v>
      </c>
      <c r="B399" s="199">
        <v>2082701</v>
      </c>
      <c r="C399" s="199" t="s">
        <v>438</v>
      </c>
      <c r="D399" s="200"/>
      <c r="E399" s="195"/>
      <c r="F399" s="201"/>
      <c r="G399" s="197"/>
      <c r="H399" s="201"/>
      <c r="I399" s="200"/>
      <c r="J399" s="222"/>
      <c r="K399" s="200"/>
      <c r="L399" s="200"/>
      <c r="M399" s="221"/>
      <c r="N399" s="200"/>
    </row>
    <row r="400" spans="1:14">
      <c r="A400" s="198" t="s">
        <v>138</v>
      </c>
      <c r="B400" s="199">
        <v>2082702</v>
      </c>
      <c r="C400" s="199" t="s">
        <v>439</v>
      </c>
      <c r="D400" s="200"/>
      <c r="E400" s="195"/>
      <c r="F400" s="201"/>
      <c r="G400" s="197"/>
      <c r="H400" s="201"/>
      <c r="I400" s="200"/>
      <c r="J400" s="222"/>
      <c r="K400" s="200"/>
      <c r="L400" s="200"/>
      <c r="M400" s="221"/>
      <c r="N400" s="200"/>
    </row>
    <row r="401" spans="1:14">
      <c r="A401" s="198" t="s">
        <v>138</v>
      </c>
      <c r="B401" s="199">
        <v>2082799</v>
      </c>
      <c r="C401" s="199" t="s">
        <v>440</v>
      </c>
      <c r="D401" s="200"/>
      <c r="E401" s="195">
        <v>301</v>
      </c>
      <c r="F401" s="201"/>
      <c r="G401" s="197"/>
      <c r="H401" s="201">
        <v>228</v>
      </c>
      <c r="I401" s="200">
        <f t="shared" si="63"/>
        <v>-228</v>
      </c>
      <c r="J401" s="222">
        <f>I401/H401*100</f>
        <v>-100</v>
      </c>
      <c r="K401" s="200"/>
      <c r="L401" s="200"/>
      <c r="M401" s="221"/>
      <c r="N401" s="200"/>
    </row>
    <row r="402" s="162" customFormat="1" spans="1:14">
      <c r="A402" s="186" t="s">
        <v>136</v>
      </c>
      <c r="B402" s="187">
        <v>20828</v>
      </c>
      <c r="C402" s="188" t="s">
        <v>441</v>
      </c>
      <c r="D402" s="189">
        <f>SUM(D403:D410)</f>
        <v>91</v>
      </c>
      <c r="E402" s="190">
        <f t="shared" ref="E402:H402" si="66">SUM(E403:E410)</f>
        <v>199</v>
      </c>
      <c r="F402" s="189">
        <f t="shared" si="66"/>
        <v>97</v>
      </c>
      <c r="G402" s="191">
        <f t="shared" ref="G392:G455" si="67">F402/D402*100</f>
        <v>106.593406593407</v>
      </c>
      <c r="H402" s="189">
        <f t="shared" si="66"/>
        <v>106</v>
      </c>
      <c r="I402" s="189">
        <f t="shared" si="63"/>
        <v>-9</v>
      </c>
      <c r="J402" s="218">
        <f>I402/H402*100</f>
        <v>-8.49056603773585</v>
      </c>
      <c r="K402" s="189">
        <f>SUM(K403:K410)</f>
        <v>69</v>
      </c>
      <c r="L402" s="189">
        <f>K402-D402</f>
        <v>-22</v>
      </c>
      <c r="M402" s="191">
        <f>L402/D402*100</f>
        <v>-24.1758241758242</v>
      </c>
      <c r="N402" s="219"/>
    </row>
    <row r="403" s="163" customFormat="1" spans="1:14">
      <c r="A403" s="192" t="s">
        <v>138</v>
      </c>
      <c r="B403" s="193">
        <v>2082801</v>
      </c>
      <c r="C403" s="193" t="s">
        <v>139</v>
      </c>
      <c r="D403" s="202">
        <v>29</v>
      </c>
      <c r="E403" s="195">
        <v>36</v>
      </c>
      <c r="F403" s="196">
        <v>28</v>
      </c>
      <c r="G403" s="197">
        <f t="shared" si="67"/>
        <v>96.551724137931</v>
      </c>
      <c r="H403" s="196">
        <v>28</v>
      </c>
      <c r="I403" s="202"/>
      <c r="J403" s="220"/>
      <c r="K403" s="202">
        <v>26</v>
      </c>
      <c r="L403" s="202">
        <f>K403-D403</f>
        <v>-3</v>
      </c>
      <c r="M403" s="221">
        <f>L403/D403*100</f>
        <v>-10.3448275862069</v>
      </c>
      <c r="N403" s="202"/>
    </row>
    <row r="404" spans="1:14">
      <c r="A404" s="198" t="s">
        <v>138</v>
      </c>
      <c r="B404" s="199">
        <v>2082802</v>
      </c>
      <c r="C404" s="199" t="s">
        <v>140</v>
      </c>
      <c r="D404" s="200"/>
      <c r="E404" s="195"/>
      <c r="F404" s="201"/>
      <c r="G404" s="197"/>
      <c r="H404" s="201"/>
      <c r="I404" s="200"/>
      <c r="J404" s="222"/>
      <c r="K404" s="200"/>
      <c r="L404" s="200"/>
      <c r="M404" s="221"/>
      <c r="N404" s="200"/>
    </row>
    <row r="405" spans="1:14">
      <c r="A405" s="198" t="s">
        <v>138</v>
      </c>
      <c r="B405" s="199">
        <v>2082803</v>
      </c>
      <c r="C405" s="199" t="s">
        <v>141</v>
      </c>
      <c r="D405" s="200"/>
      <c r="E405" s="195"/>
      <c r="F405" s="201">
        <v>1</v>
      </c>
      <c r="G405" s="197"/>
      <c r="H405" s="201"/>
      <c r="I405" s="200">
        <f t="shared" si="63"/>
        <v>1</v>
      </c>
      <c r="J405" s="222"/>
      <c r="K405" s="200"/>
      <c r="L405" s="200"/>
      <c r="M405" s="221"/>
      <c r="N405" s="200"/>
    </row>
    <row r="406" s="163" customFormat="1" spans="1:14">
      <c r="A406" s="192" t="s">
        <v>138</v>
      </c>
      <c r="B406" s="193">
        <v>2082804</v>
      </c>
      <c r="C406" s="193" t="s">
        <v>442</v>
      </c>
      <c r="D406" s="202">
        <v>23</v>
      </c>
      <c r="E406" s="195">
        <v>26</v>
      </c>
      <c r="F406" s="196">
        <v>25</v>
      </c>
      <c r="G406" s="197">
        <f t="shared" si="67"/>
        <v>108.695652173913</v>
      </c>
      <c r="H406" s="196">
        <v>14</v>
      </c>
      <c r="I406" s="202">
        <f t="shared" si="63"/>
        <v>11</v>
      </c>
      <c r="J406" s="220">
        <f>I406/H406*100</f>
        <v>78.5714285714286</v>
      </c>
      <c r="K406" s="202"/>
      <c r="L406" s="202">
        <f>K406-D406</f>
        <v>-23</v>
      </c>
      <c r="M406" s="221">
        <f>L406/D406*100</f>
        <v>-100</v>
      </c>
      <c r="N406" s="202"/>
    </row>
    <row r="407" spans="1:14">
      <c r="A407" s="198" t="s">
        <v>138</v>
      </c>
      <c r="B407" s="199">
        <v>2082805</v>
      </c>
      <c r="C407" s="199" t="s">
        <v>443</v>
      </c>
      <c r="D407" s="200"/>
      <c r="E407" s="195"/>
      <c r="F407" s="201"/>
      <c r="G407" s="197"/>
      <c r="H407" s="201"/>
      <c r="I407" s="200"/>
      <c r="J407" s="222"/>
      <c r="K407" s="200"/>
      <c r="L407" s="200"/>
      <c r="M407" s="221"/>
      <c r="N407" s="200"/>
    </row>
    <row r="408" spans="1:14">
      <c r="A408" s="198" t="s">
        <v>138</v>
      </c>
      <c r="B408" s="199">
        <v>2082806</v>
      </c>
      <c r="C408" s="199" t="s">
        <v>161</v>
      </c>
      <c r="D408" s="200"/>
      <c r="E408" s="195"/>
      <c r="F408" s="201"/>
      <c r="G408" s="197"/>
      <c r="H408" s="201"/>
      <c r="I408" s="200"/>
      <c r="J408" s="222"/>
      <c r="K408" s="200"/>
      <c r="L408" s="200"/>
      <c r="M408" s="221"/>
      <c r="N408" s="200"/>
    </row>
    <row r="409" s="163" customFormat="1" spans="1:14">
      <c r="A409" s="192" t="s">
        <v>138</v>
      </c>
      <c r="B409" s="193">
        <v>2082850</v>
      </c>
      <c r="C409" s="193" t="s">
        <v>148</v>
      </c>
      <c r="D409" s="202">
        <v>39</v>
      </c>
      <c r="E409" s="195">
        <v>47</v>
      </c>
      <c r="F409" s="196">
        <v>43</v>
      </c>
      <c r="G409" s="197">
        <f t="shared" si="67"/>
        <v>110.25641025641</v>
      </c>
      <c r="H409" s="196">
        <v>64</v>
      </c>
      <c r="I409" s="202">
        <f t="shared" ref="I409:I421" si="68">F409-H409</f>
        <v>-21</v>
      </c>
      <c r="J409" s="220">
        <f t="shared" ref="J409:J421" si="69">I409/H409*100</f>
        <v>-32.8125</v>
      </c>
      <c r="K409" s="202">
        <v>43</v>
      </c>
      <c r="L409" s="202">
        <f t="shared" ref="L409:L418" si="70">K409-D409</f>
        <v>4</v>
      </c>
      <c r="M409" s="221">
        <f t="shared" ref="M409:M418" si="71">L409/D409*100</f>
        <v>10.2564102564103</v>
      </c>
      <c r="N409" s="202"/>
    </row>
    <row r="410" spans="1:14">
      <c r="A410" s="198" t="s">
        <v>138</v>
      </c>
      <c r="B410" s="199">
        <v>2082899</v>
      </c>
      <c r="C410" s="199" t="s">
        <v>444</v>
      </c>
      <c r="D410" s="200"/>
      <c r="E410" s="195">
        <v>90</v>
      </c>
      <c r="F410" s="201"/>
      <c r="G410" s="197"/>
      <c r="H410" s="201"/>
      <c r="I410" s="200"/>
      <c r="J410" s="222"/>
      <c r="K410" s="200"/>
      <c r="L410" s="200"/>
      <c r="M410" s="221"/>
      <c r="N410" s="200"/>
    </row>
    <row r="411" s="162" customFormat="1" spans="1:14">
      <c r="A411" s="186" t="s">
        <v>136</v>
      </c>
      <c r="B411" s="187">
        <v>20830</v>
      </c>
      <c r="C411" s="188" t="s">
        <v>445</v>
      </c>
      <c r="D411" s="189">
        <f>SUM(D412:D413)</f>
        <v>169</v>
      </c>
      <c r="E411" s="190">
        <f t="shared" ref="E411:H411" si="72">SUM(E412:E413)</f>
        <v>130</v>
      </c>
      <c r="F411" s="189">
        <f t="shared" si="72"/>
        <v>181</v>
      </c>
      <c r="G411" s="191">
        <f t="shared" si="67"/>
        <v>107.100591715976</v>
      </c>
      <c r="H411" s="189">
        <f t="shared" si="72"/>
        <v>55</v>
      </c>
      <c r="I411" s="189">
        <f t="shared" si="68"/>
        <v>126</v>
      </c>
      <c r="J411" s="218">
        <f t="shared" si="69"/>
        <v>229.090909090909</v>
      </c>
      <c r="K411" s="189">
        <f>SUM(K412:K413)</f>
        <v>512</v>
      </c>
      <c r="L411" s="189">
        <f t="shared" si="70"/>
        <v>343</v>
      </c>
      <c r="M411" s="191">
        <f t="shared" si="71"/>
        <v>202.958579881657</v>
      </c>
      <c r="N411" s="219"/>
    </row>
    <row r="412" spans="1:14">
      <c r="A412" s="198" t="s">
        <v>138</v>
      </c>
      <c r="B412" s="199">
        <v>2083001</v>
      </c>
      <c r="C412" s="199" t="s">
        <v>446</v>
      </c>
      <c r="D412" s="200"/>
      <c r="E412" s="195">
        <v>130</v>
      </c>
      <c r="F412" s="201"/>
      <c r="G412" s="197"/>
      <c r="H412" s="201">
        <v>55</v>
      </c>
      <c r="I412" s="200">
        <f t="shared" si="68"/>
        <v>-55</v>
      </c>
      <c r="J412" s="222">
        <f t="shared" si="69"/>
        <v>-100</v>
      </c>
      <c r="K412" s="200">
        <v>28</v>
      </c>
      <c r="L412" s="200">
        <f t="shared" si="70"/>
        <v>28</v>
      </c>
      <c r="M412" s="221"/>
      <c r="N412" s="200"/>
    </row>
    <row r="413" s="163" customFormat="1" spans="1:14">
      <c r="A413" s="192" t="s">
        <v>138</v>
      </c>
      <c r="B413" s="193">
        <v>2083099</v>
      </c>
      <c r="C413" s="193" t="s">
        <v>447</v>
      </c>
      <c r="D413" s="202">
        <v>169</v>
      </c>
      <c r="E413" s="195"/>
      <c r="F413" s="196">
        <v>181</v>
      </c>
      <c r="G413" s="197">
        <f t="shared" si="67"/>
        <v>107.100591715976</v>
      </c>
      <c r="H413" s="196"/>
      <c r="I413" s="202">
        <f t="shared" si="68"/>
        <v>181</v>
      </c>
      <c r="J413" s="220"/>
      <c r="K413" s="202">
        <f>218+1+265</f>
        <v>484</v>
      </c>
      <c r="L413" s="202">
        <f t="shared" si="70"/>
        <v>315</v>
      </c>
      <c r="M413" s="221">
        <f t="shared" si="71"/>
        <v>186.390532544379</v>
      </c>
      <c r="N413" s="202"/>
    </row>
    <row r="414" s="162" customFormat="1" spans="1:14">
      <c r="A414" s="186" t="s">
        <v>136</v>
      </c>
      <c r="B414" s="187">
        <v>20899</v>
      </c>
      <c r="C414" s="188" t="s">
        <v>448</v>
      </c>
      <c r="D414" s="189">
        <f>D415</f>
        <v>31</v>
      </c>
      <c r="E414" s="190">
        <f t="shared" ref="E414:H414" si="73">E415</f>
        <v>29</v>
      </c>
      <c r="F414" s="189">
        <f t="shared" si="73"/>
        <v>771</v>
      </c>
      <c r="G414" s="191">
        <f t="shared" si="67"/>
        <v>2487.09677419355</v>
      </c>
      <c r="H414" s="189">
        <f t="shared" si="73"/>
        <v>23</v>
      </c>
      <c r="I414" s="189">
        <f t="shared" si="68"/>
        <v>748</v>
      </c>
      <c r="J414" s="218">
        <f t="shared" si="69"/>
        <v>3252.17391304348</v>
      </c>
      <c r="K414" s="189"/>
      <c r="L414" s="189">
        <f t="shared" si="70"/>
        <v>-31</v>
      </c>
      <c r="M414" s="191">
        <f t="shared" si="71"/>
        <v>-100</v>
      </c>
      <c r="N414" s="219"/>
    </row>
    <row r="415" s="163" customFormat="1" spans="1:14">
      <c r="A415" s="192" t="s">
        <v>138</v>
      </c>
      <c r="B415" s="193">
        <v>2089999</v>
      </c>
      <c r="C415" s="193" t="s">
        <v>449</v>
      </c>
      <c r="D415" s="202">
        <v>31</v>
      </c>
      <c r="E415" s="195">
        <v>29</v>
      </c>
      <c r="F415" s="196">
        <v>771</v>
      </c>
      <c r="G415" s="197">
        <f t="shared" si="67"/>
        <v>2487.09677419355</v>
      </c>
      <c r="H415" s="196">
        <v>23</v>
      </c>
      <c r="I415" s="202">
        <f t="shared" si="68"/>
        <v>748</v>
      </c>
      <c r="J415" s="220">
        <f t="shared" si="69"/>
        <v>3252.17391304348</v>
      </c>
      <c r="K415" s="202"/>
      <c r="L415" s="202">
        <f t="shared" si="70"/>
        <v>-31</v>
      </c>
      <c r="M415" s="221">
        <f t="shared" si="71"/>
        <v>-100</v>
      </c>
      <c r="N415" s="202"/>
    </row>
    <row r="416" s="161" customFormat="1" spans="1:14">
      <c r="A416" s="181" t="s">
        <v>134</v>
      </c>
      <c r="B416" s="182">
        <v>210</v>
      </c>
      <c r="C416" s="182" t="s">
        <v>450</v>
      </c>
      <c r="D416" s="183">
        <f>D417+D422+D424+D428+D435+D439+D444+D448+D452+D455+D460+D466+D462+D464</f>
        <v>2858</v>
      </c>
      <c r="E416" s="184">
        <f t="shared" ref="E416:F416" si="74">E417+E422+E424+E428+E435+E439+E444+E448+E452+E455+E460+E466+E462+E464</f>
        <v>5102</v>
      </c>
      <c r="F416" s="183">
        <f t="shared" si="74"/>
        <v>5152</v>
      </c>
      <c r="G416" s="185">
        <f t="shared" si="67"/>
        <v>180.265920223933</v>
      </c>
      <c r="H416" s="183">
        <f>H417+H422+H424+H428+H435+H439+H444+H448+H452+H455+H460+H466+H462+H464</f>
        <v>5933</v>
      </c>
      <c r="I416" s="183">
        <f t="shared" si="68"/>
        <v>-781</v>
      </c>
      <c r="J416" s="215">
        <f t="shared" si="69"/>
        <v>-13.1636608798247</v>
      </c>
      <c r="K416" s="183">
        <f>K417+K422+K424+K428+K435+K439+K444+K448+K452+K455+K460+K466+K462+K464</f>
        <v>3683</v>
      </c>
      <c r="L416" s="216">
        <f t="shared" si="70"/>
        <v>825</v>
      </c>
      <c r="M416" s="217">
        <f t="shared" si="71"/>
        <v>28.8663400979706</v>
      </c>
      <c r="N416" s="216"/>
    </row>
    <row r="417" s="162" customFormat="1" spans="1:14">
      <c r="A417" s="186" t="s">
        <v>136</v>
      </c>
      <c r="B417" s="187">
        <v>21001</v>
      </c>
      <c r="C417" s="188" t="s">
        <v>451</v>
      </c>
      <c r="D417" s="189">
        <f>SUM(D418:D421)</f>
        <v>63</v>
      </c>
      <c r="E417" s="190">
        <f t="shared" ref="E417:H417" si="75">SUM(E418:E421)</f>
        <v>431</v>
      </c>
      <c r="F417" s="189">
        <f t="shared" si="75"/>
        <v>78</v>
      </c>
      <c r="G417" s="191">
        <f t="shared" si="67"/>
        <v>123.809523809524</v>
      </c>
      <c r="H417" s="189">
        <f t="shared" si="75"/>
        <v>172</v>
      </c>
      <c r="I417" s="189">
        <f t="shared" si="68"/>
        <v>-94</v>
      </c>
      <c r="J417" s="218">
        <f t="shared" si="69"/>
        <v>-54.6511627906977</v>
      </c>
      <c r="K417" s="189">
        <f>SUM(K418:K421)</f>
        <v>76</v>
      </c>
      <c r="L417" s="189">
        <f t="shared" si="70"/>
        <v>13</v>
      </c>
      <c r="M417" s="191">
        <f t="shared" si="71"/>
        <v>20.6349206349206</v>
      </c>
      <c r="N417" s="219"/>
    </row>
    <row r="418" s="163" customFormat="1" spans="1:14">
      <c r="A418" s="192" t="s">
        <v>138</v>
      </c>
      <c r="B418" s="193">
        <v>2100101</v>
      </c>
      <c r="C418" s="193" t="s">
        <v>139</v>
      </c>
      <c r="D418" s="202">
        <v>63</v>
      </c>
      <c r="E418" s="195">
        <v>142</v>
      </c>
      <c r="F418" s="196">
        <v>76</v>
      </c>
      <c r="G418" s="197">
        <f t="shared" si="67"/>
        <v>120.634920634921</v>
      </c>
      <c r="H418" s="196">
        <v>143</v>
      </c>
      <c r="I418" s="202">
        <f t="shared" si="68"/>
        <v>-67</v>
      </c>
      <c r="J418" s="220">
        <f t="shared" si="69"/>
        <v>-46.8531468531469</v>
      </c>
      <c r="K418" s="202">
        <v>76</v>
      </c>
      <c r="L418" s="202">
        <f t="shared" si="70"/>
        <v>13</v>
      </c>
      <c r="M418" s="221">
        <f t="shared" si="71"/>
        <v>20.6349206349206</v>
      </c>
      <c r="N418" s="202"/>
    </row>
    <row r="419" spans="1:14">
      <c r="A419" s="198" t="s">
        <v>138</v>
      </c>
      <c r="B419" s="199">
        <v>2100102</v>
      </c>
      <c r="C419" s="199" t="s">
        <v>140</v>
      </c>
      <c r="D419" s="200"/>
      <c r="E419" s="195"/>
      <c r="F419" s="201">
        <v>2</v>
      </c>
      <c r="G419" s="197"/>
      <c r="H419" s="201"/>
      <c r="I419" s="200">
        <f t="shared" si="68"/>
        <v>2</v>
      </c>
      <c r="J419" s="222"/>
      <c r="K419" s="200"/>
      <c r="L419" s="200"/>
      <c r="M419" s="221"/>
      <c r="N419" s="200"/>
    </row>
    <row r="420" spans="1:14">
      <c r="A420" s="198" t="s">
        <v>138</v>
      </c>
      <c r="B420" s="199">
        <v>2100103</v>
      </c>
      <c r="C420" s="199" t="s">
        <v>141</v>
      </c>
      <c r="D420" s="200"/>
      <c r="E420" s="195"/>
      <c r="F420" s="201"/>
      <c r="G420" s="197"/>
      <c r="H420" s="201">
        <v>2</v>
      </c>
      <c r="I420" s="200">
        <f t="shared" si="68"/>
        <v>-2</v>
      </c>
      <c r="J420" s="222">
        <f t="shared" si="69"/>
        <v>-100</v>
      </c>
      <c r="K420" s="200"/>
      <c r="L420" s="200"/>
      <c r="M420" s="221"/>
      <c r="N420" s="200"/>
    </row>
    <row r="421" spans="1:14">
      <c r="A421" s="198" t="s">
        <v>138</v>
      </c>
      <c r="B421" s="199">
        <v>2100199</v>
      </c>
      <c r="C421" s="199" t="s">
        <v>452</v>
      </c>
      <c r="D421" s="200"/>
      <c r="E421" s="195">
        <v>289</v>
      </c>
      <c r="F421" s="201"/>
      <c r="G421" s="197"/>
      <c r="H421" s="201">
        <v>27</v>
      </c>
      <c r="I421" s="200">
        <f t="shared" si="68"/>
        <v>-27</v>
      </c>
      <c r="J421" s="222">
        <f t="shared" si="69"/>
        <v>-100</v>
      </c>
      <c r="K421" s="200"/>
      <c r="L421" s="200"/>
      <c r="M421" s="221"/>
      <c r="N421" s="200"/>
    </row>
    <row r="422" s="162" customFormat="1" spans="1:14">
      <c r="A422" s="186" t="s">
        <v>136</v>
      </c>
      <c r="B422" s="187">
        <v>21002</v>
      </c>
      <c r="C422" s="188" t="s">
        <v>453</v>
      </c>
      <c r="D422" s="189"/>
      <c r="E422" s="190">
        <f>SUM(E423:E423)</f>
        <v>0</v>
      </c>
      <c r="F422" s="189"/>
      <c r="G422" s="191"/>
      <c r="H422" s="189"/>
      <c r="I422" s="189"/>
      <c r="J422" s="218"/>
      <c r="K422" s="189"/>
      <c r="L422" s="189"/>
      <c r="M422" s="191"/>
      <c r="N422" s="219"/>
    </row>
    <row r="423" spans="1:14">
      <c r="A423" s="198" t="s">
        <v>138</v>
      </c>
      <c r="B423" s="199">
        <v>2100299</v>
      </c>
      <c r="C423" s="199" t="s">
        <v>454</v>
      </c>
      <c r="D423" s="200"/>
      <c r="E423" s="195"/>
      <c r="F423" s="201"/>
      <c r="G423" s="197"/>
      <c r="H423" s="201"/>
      <c r="I423" s="200"/>
      <c r="J423" s="222"/>
      <c r="K423" s="200"/>
      <c r="L423" s="200"/>
      <c r="M423" s="221"/>
      <c r="N423" s="200"/>
    </row>
    <row r="424" s="162" customFormat="1" spans="1:14">
      <c r="A424" s="186" t="s">
        <v>136</v>
      </c>
      <c r="B424" s="187">
        <v>21003</v>
      </c>
      <c r="C424" s="188" t="s">
        <v>455</v>
      </c>
      <c r="D424" s="189">
        <f>SUM(D425:D427)</f>
        <v>822</v>
      </c>
      <c r="E424" s="190">
        <f t="shared" ref="E424:H424" si="76">SUM(E425:E427)</f>
        <v>929</v>
      </c>
      <c r="F424" s="189">
        <f t="shared" si="76"/>
        <v>942</v>
      </c>
      <c r="G424" s="191">
        <f t="shared" si="67"/>
        <v>114.598540145985</v>
      </c>
      <c r="H424" s="189">
        <f t="shared" si="76"/>
        <v>1347</v>
      </c>
      <c r="I424" s="189">
        <f t="shared" ref="I424:I479" si="77">F424-H424</f>
        <v>-405</v>
      </c>
      <c r="J424" s="218">
        <f>I424/H424*100</f>
        <v>-30.0668151447661</v>
      </c>
      <c r="K424" s="189">
        <f>SUM(K425:K427)</f>
        <v>804</v>
      </c>
      <c r="L424" s="189">
        <f>K424-D424</f>
        <v>-18</v>
      </c>
      <c r="M424" s="191">
        <f>L424/D424*100</f>
        <v>-2.18978102189781</v>
      </c>
      <c r="N424" s="219"/>
    </row>
    <row r="425" spans="1:14">
      <c r="A425" s="198" t="s">
        <v>138</v>
      </c>
      <c r="B425" s="199">
        <v>2100301</v>
      </c>
      <c r="C425" s="199" t="s">
        <v>456</v>
      </c>
      <c r="D425" s="200"/>
      <c r="E425" s="195"/>
      <c r="F425" s="201"/>
      <c r="G425" s="197"/>
      <c r="H425" s="201"/>
      <c r="I425" s="200"/>
      <c r="J425" s="222"/>
      <c r="K425" s="200"/>
      <c r="L425" s="200"/>
      <c r="M425" s="221"/>
      <c r="N425" s="200"/>
    </row>
    <row r="426" s="163" customFormat="1" spans="1:14">
      <c r="A426" s="192" t="s">
        <v>138</v>
      </c>
      <c r="B426" s="193">
        <v>2100302</v>
      </c>
      <c r="C426" s="193" t="s">
        <v>457</v>
      </c>
      <c r="D426" s="202">
        <v>715</v>
      </c>
      <c r="E426" s="195">
        <v>916</v>
      </c>
      <c r="F426" s="196">
        <v>866</v>
      </c>
      <c r="G426" s="197">
        <f t="shared" si="67"/>
        <v>121.118881118881</v>
      </c>
      <c r="H426" s="196">
        <v>1134</v>
      </c>
      <c r="I426" s="202">
        <f t="shared" si="77"/>
        <v>-268</v>
      </c>
      <c r="J426" s="220">
        <f>I426/H426*100</f>
        <v>-23.6331569664903</v>
      </c>
      <c r="K426" s="202">
        <f>798+6</f>
        <v>804</v>
      </c>
      <c r="L426" s="202">
        <f>K426-D426</f>
        <v>89</v>
      </c>
      <c r="M426" s="221">
        <f>L426/D426*100</f>
        <v>12.4475524475524</v>
      </c>
      <c r="N426" s="202"/>
    </row>
    <row r="427" s="163" customFormat="1" spans="1:14">
      <c r="A427" s="192" t="s">
        <v>138</v>
      </c>
      <c r="B427" s="193">
        <v>2100399</v>
      </c>
      <c r="C427" s="193" t="s">
        <v>458</v>
      </c>
      <c r="D427" s="202">
        <v>107</v>
      </c>
      <c r="E427" s="195">
        <v>13</v>
      </c>
      <c r="F427" s="196">
        <v>76</v>
      </c>
      <c r="G427" s="197">
        <f t="shared" si="67"/>
        <v>71.0280373831776</v>
      </c>
      <c r="H427" s="196">
        <v>213</v>
      </c>
      <c r="I427" s="202">
        <f t="shared" si="77"/>
        <v>-137</v>
      </c>
      <c r="J427" s="220">
        <f>I427/H427*100</f>
        <v>-64.3192488262911</v>
      </c>
      <c r="K427" s="202"/>
      <c r="L427" s="202">
        <f>K427-D427</f>
        <v>-107</v>
      </c>
      <c r="M427" s="221">
        <f>L427/D427*100</f>
        <v>-100</v>
      </c>
      <c r="N427" s="202"/>
    </row>
    <row r="428" s="162" customFormat="1" spans="1:14">
      <c r="A428" s="186" t="s">
        <v>136</v>
      </c>
      <c r="B428" s="187">
        <v>21004</v>
      </c>
      <c r="C428" s="188" t="s">
        <v>459</v>
      </c>
      <c r="D428" s="189">
        <f>SUM(D429:D434)</f>
        <v>87</v>
      </c>
      <c r="E428" s="190">
        <f>SUM(E429:E434)</f>
        <v>1313</v>
      </c>
      <c r="F428" s="189">
        <f>SUM(F429:F434)</f>
        <v>1253</v>
      </c>
      <c r="G428" s="191">
        <f t="shared" si="67"/>
        <v>1440.22988505747</v>
      </c>
      <c r="H428" s="189">
        <f>SUM(H429:H434)</f>
        <v>1147</v>
      </c>
      <c r="I428" s="189">
        <f t="shared" si="77"/>
        <v>106</v>
      </c>
      <c r="J428" s="218">
        <f>I428/H428*100</f>
        <v>9.24149956408021</v>
      </c>
      <c r="K428" s="189">
        <f>SUM(K429:K434)</f>
        <v>505</v>
      </c>
      <c r="L428" s="189">
        <f>K428-D428</f>
        <v>418</v>
      </c>
      <c r="M428" s="191">
        <f>L428/D428*100</f>
        <v>480.459770114943</v>
      </c>
      <c r="N428" s="219"/>
    </row>
    <row r="429" spans="1:14">
      <c r="A429" s="198" t="s">
        <v>138</v>
      </c>
      <c r="B429" s="199">
        <v>2100401</v>
      </c>
      <c r="C429" s="199" t="s">
        <v>460</v>
      </c>
      <c r="D429" s="200"/>
      <c r="E429" s="195"/>
      <c r="F429" s="201"/>
      <c r="G429" s="197"/>
      <c r="H429" s="201"/>
      <c r="I429" s="200"/>
      <c r="J429" s="222"/>
      <c r="K429" s="200"/>
      <c r="L429" s="200"/>
      <c r="M429" s="221"/>
      <c r="N429" s="200"/>
    </row>
    <row r="430" spans="1:14">
      <c r="A430" s="198" t="s">
        <v>138</v>
      </c>
      <c r="B430" s="199">
        <v>2100402</v>
      </c>
      <c r="C430" s="199" t="s">
        <v>461</v>
      </c>
      <c r="D430" s="200"/>
      <c r="E430" s="195"/>
      <c r="F430" s="201">
        <v>6</v>
      </c>
      <c r="G430" s="197"/>
      <c r="H430" s="201"/>
      <c r="I430" s="200">
        <f t="shared" si="77"/>
        <v>6</v>
      </c>
      <c r="J430" s="222"/>
      <c r="K430" s="200"/>
      <c r="L430" s="200"/>
      <c r="M430" s="221"/>
      <c r="N430" s="200"/>
    </row>
    <row r="431" s="163" customFormat="1" spans="1:14">
      <c r="A431" s="192" t="s">
        <v>138</v>
      </c>
      <c r="B431" s="193">
        <v>2100408</v>
      </c>
      <c r="C431" s="193" t="s">
        <v>462</v>
      </c>
      <c r="D431" s="194">
        <v>62</v>
      </c>
      <c r="E431" s="195">
        <v>1298</v>
      </c>
      <c r="F431" s="196">
        <v>1184</v>
      </c>
      <c r="G431" s="197">
        <f t="shared" si="67"/>
        <v>1909.67741935484</v>
      </c>
      <c r="H431" s="196">
        <v>1005</v>
      </c>
      <c r="I431" s="202">
        <f t="shared" si="77"/>
        <v>179</v>
      </c>
      <c r="J431" s="220">
        <f t="shared" ref="J431:J437" si="78">I431/H431*100</f>
        <v>17.8109452736318</v>
      </c>
      <c r="K431" s="194">
        <f>480</f>
        <v>480</v>
      </c>
      <c r="L431" s="202">
        <f>K431-D431</f>
        <v>418</v>
      </c>
      <c r="M431" s="221">
        <f>L431/D431*100</f>
        <v>674.193548387097</v>
      </c>
      <c r="N431" s="202"/>
    </row>
    <row r="432" s="163" customFormat="1" spans="1:14">
      <c r="A432" s="192" t="s">
        <v>138</v>
      </c>
      <c r="B432" s="193">
        <v>2100409</v>
      </c>
      <c r="C432" s="193" t="s">
        <v>463</v>
      </c>
      <c r="D432" s="202">
        <f>15+10</f>
        <v>25</v>
      </c>
      <c r="E432" s="195">
        <v>15</v>
      </c>
      <c r="F432" s="196">
        <v>36</v>
      </c>
      <c r="G432" s="197">
        <f t="shared" si="67"/>
        <v>144</v>
      </c>
      <c r="H432" s="196">
        <v>43</v>
      </c>
      <c r="I432" s="202">
        <f t="shared" si="77"/>
        <v>-7</v>
      </c>
      <c r="J432" s="220">
        <f t="shared" si="78"/>
        <v>-16.2790697674419</v>
      </c>
      <c r="K432" s="202">
        <v>25</v>
      </c>
      <c r="L432" s="202">
        <f>K432-D432</f>
        <v>0</v>
      </c>
      <c r="M432" s="221">
        <f>L432/D432*100</f>
        <v>0</v>
      </c>
      <c r="N432" s="202"/>
    </row>
    <row r="433" spans="1:14">
      <c r="A433" s="198" t="s">
        <v>138</v>
      </c>
      <c r="B433" s="199">
        <v>2100410</v>
      </c>
      <c r="C433" s="199" t="s">
        <v>464</v>
      </c>
      <c r="D433" s="200"/>
      <c r="E433" s="195"/>
      <c r="F433" s="201"/>
      <c r="G433" s="197"/>
      <c r="H433" s="201">
        <v>85</v>
      </c>
      <c r="I433" s="200">
        <f t="shared" si="77"/>
        <v>-85</v>
      </c>
      <c r="J433" s="222">
        <f t="shared" si="78"/>
        <v>-100</v>
      </c>
      <c r="K433" s="200"/>
      <c r="L433" s="200"/>
      <c r="M433" s="221"/>
      <c r="N433" s="200"/>
    </row>
    <row r="434" spans="1:14">
      <c r="A434" s="198" t="s">
        <v>138</v>
      </c>
      <c r="B434" s="199">
        <v>2100499</v>
      </c>
      <c r="C434" s="199" t="s">
        <v>465</v>
      </c>
      <c r="D434" s="200"/>
      <c r="E434" s="195"/>
      <c r="F434" s="201">
        <v>27</v>
      </c>
      <c r="G434" s="197"/>
      <c r="H434" s="201">
        <v>14</v>
      </c>
      <c r="I434" s="200">
        <f t="shared" si="77"/>
        <v>13</v>
      </c>
      <c r="J434" s="222">
        <f t="shared" si="78"/>
        <v>92.8571428571429</v>
      </c>
      <c r="K434" s="200"/>
      <c r="L434" s="200">
        <f>K434-D434</f>
        <v>0</v>
      </c>
      <c r="M434" s="221"/>
      <c r="N434" s="200"/>
    </row>
    <row r="435" s="162" customFormat="1" spans="1:14">
      <c r="A435" s="186" t="s">
        <v>136</v>
      </c>
      <c r="B435" s="187">
        <v>21007</v>
      </c>
      <c r="C435" s="188" t="s">
        <v>466</v>
      </c>
      <c r="D435" s="189">
        <f>SUM(D436:D438)</f>
        <v>36</v>
      </c>
      <c r="E435" s="190">
        <f t="shared" ref="E435:H435" si="79">SUM(E436:E438)</f>
        <v>404</v>
      </c>
      <c r="F435" s="189">
        <f t="shared" si="79"/>
        <v>409</v>
      </c>
      <c r="G435" s="191">
        <f t="shared" si="67"/>
        <v>1136.11111111111</v>
      </c>
      <c r="H435" s="189">
        <f t="shared" si="79"/>
        <v>499</v>
      </c>
      <c r="I435" s="189">
        <f t="shared" si="77"/>
        <v>-90</v>
      </c>
      <c r="J435" s="218">
        <f t="shared" si="78"/>
        <v>-18.0360721442886</v>
      </c>
      <c r="K435" s="189">
        <f>SUM(K436:K438)</f>
        <v>39</v>
      </c>
      <c r="L435" s="189">
        <f>K435-D435</f>
        <v>3</v>
      </c>
      <c r="M435" s="191">
        <f>L435/D435*100</f>
        <v>8.33333333333333</v>
      </c>
      <c r="N435" s="219"/>
    </row>
    <row r="436" s="163" customFormat="1" spans="1:14">
      <c r="A436" s="192" t="s">
        <v>138</v>
      </c>
      <c r="B436" s="193">
        <v>2100716</v>
      </c>
      <c r="C436" s="193" t="s">
        <v>467</v>
      </c>
      <c r="D436" s="202">
        <v>24</v>
      </c>
      <c r="E436" s="195">
        <v>30</v>
      </c>
      <c r="F436" s="196">
        <v>27</v>
      </c>
      <c r="G436" s="197">
        <f t="shared" si="67"/>
        <v>112.5</v>
      </c>
      <c r="H436" s="196">
        <v>26</v>
      </c>
      <c r="I436" s="202">
        <f t="shared" si="77"/>
        <v>1</v>
      </c>
      <c r="J436" s="220">
        <f t="shared" si="78"/>
        <v>3.84615384615385</v>
      </c>
      <c r="K436" s="202">
        <v>35</v>
      </c>
      <c r="L436" s="202">
        <f>K436-D436</f>
        <v>11</v>
      </c>
      <c r="M436" s="221">
        <f>L436/D436*100</f>
        <v>45.8333333333333</v>
      </c>
      <c r="N436" s="202"/>
    </row>
    <row r="437" s="163" customFormat="1" spans="1:14">
      <c r="A437" s="192" t="s">
        <v>138</v>
      </c>
      <c r="B437" s="193">
        <v>2100717</v>
      </c>
      <c r="C437" s="193" t="s">
        <v>468</v>
      </c>
      <c r="D437" s="202">
        <v>12</v>
      </c>
      <c r="E437" s="195">
        <v>370</v>
      </c>
      <c r="F437" s="196">
        <v>361</v>
      </c>
      <c r="G437" s="197">
        <f t="shared" si="67"/>
        <v>3008.33333333333</v>
      </c>
      <c r="H437" s="196">
        <v>473</v>
      </c>
      <c r="I437" s="202">
        <f t="shared" si="77"/>
        <v>-112</v>
      </c>
      <c r="J437" s="220">
        <f t="shared" si="78"/>
        <v>-23.6786469344609</v>
      </c>
      <c r="K437" s="202">
        <v>4</v>
      </c>
      <c r="L437" s="202">
        <f>K437-D437</f>
        <v>-8</v>
      </c>
      <c r="M437" s="221">
        <f>L437/D437*100</f>
        <v>-66.6666666666667</v>
      </c>
      <c r="N437" s="202"/>
    </row>
    <row r="438" spans="1:14">
      <c r="A438" s="198" t="s">
        <v>138</v>
      </c>
      <c r="B438" s="199">
        <v>2100799</v>
      </c>
      <c r="C438" s="199" t="s">
        <v>469</v>
      </c>
      <c r="D438" s="200"/>
      <c r="E438" s="195">
        <v>4</v>
      </c>
      <c r="F438" s="201">
        <v>21</v>
      </c>
      <c r="G438" s="197"/>
      <c r="H438" s="201"/>
      <c r="I438" s="200">
        <f t="shared" si="77"/>
        <v>21</v>
      </c>
      <c r="J438" s="222"/>
      <c r="K438" s="200"/>
      <c r="L438" s="200"/>
      <c r="M438" s="221"/>
      <c r="N438" s="200"/>
    </row>
    <row r="439" s="162" customFormat="1" spans="1:14">
      <c r="A439" s="186" t="s">
        <v>136</v>
      </c>
      <c r="B439" s="187">
        <v>21011</v>
      </c>
      <c r="C439" s="188" t="s">
        <v>470</v>
      </c>
      <c r="D439" s="189">
        <f>SUM(D440:D443)</f>
        <v>1850</v>
      </c>
      <c r="E439" s="190">
        <f t="shared" ref="E439:H439" si="80">SUM(E440:E443)</f>
        <v>1853</v>
      </c>
      <c r="F439" s="189">
        <f t="shared" si="80"/>
        <v>1825</v>
      </c>
      <c r="G439" s="191">
        <f t="shared" si="67"/>
        <v>98.6486486486486</v>
      </c>
      <c r="H439" s="189">
        <f t="shared" si="80"/>
        <v>1836</v>
      </c>
      <c r="I439" s="189">
        <f t="shared" si="77"/>
        <v>-11</v>
      </c>
      <c r="J439" s="218">
        <f>I439/H439*100</f>
        <v>-0.599128540305011</v>
      </c>
      <c r="K439" s="189">
        <f>SUM(K440:K443)</f>
        <v>1756</v>
      </c>
      <c r="L439" s="189">
        <f>K439-D439</f>
        <v>-94</v>
      </c>
      <c r="M439" s="191">
        <f>L439/D439*100</f>
        <v>-5.08108108108108</v>
      </c>
      <c r="N439" s="219"/>
    </row>
    <row r="440" s="163" customFormat="1" spans="1:14">
      <c r="A440" s="192" t="s">
        <v>138</v>
      </c>
      <c r="B440" s="193">
        <v>2101101</v>
      </c>
      <c r="C440" s="193" t="s">
        <v>471</v>
      </c>
      <c r="D440" s="202">
        <v>632</v>
      </c>
      <c r="E440" s="195">
        <v>666</v>
      </c>
      <c r="F440" s="196">
        <v>665</v>
      </c>
      <c r="G440" s="197">
        <f t="shared" si="67"/>
        <v>105.221518987342</v>
      </c>
      <c r="H440" s="196">
        <v>634</v>
      </c>
      <c r="I440" s="202">
        <f t="shared" si="77"/>
        <v>31</v>
      </c>
      <c r="J440" s="220">
        <f>I440/H440*100</f>
        <v>4.88958990536278</v>
      </c>
      <c r="K440" s="202">
        <v>587</v>
      </c>
      <c r="L440" s="202">
        <f>K440-D440</f>
        <v>-45</v>
      </c>
      <c r="M440" s="221">
        <f>L440/D440*100</f>
        <v>-7.12025316455696</v>
      </c>
      <c r="N440" s="202"/>
    </row>
    <row r="441" s="163" customFormat="1" spans="1:14">
      <c r="A441" s="192" t="s">
        <v>138</v>
      </c>
      <c r="B441" s="193">
        <v>2101102</v>
      </c>
      <c r="C441" s="193" t="s">
        <v>472</v>
      </c>
      <c r="D441" s="202">
        <v>931</v>
      </c>
      <c r="E441" s="195">
        <v>877</v>
      </c>
      <c r="F441" s="196">
        <v>911</v>
      </c>
      <c r="G441" s="197">
        <f t="shared" si="67"/>
        <v>97.8517722878625</v>
      </c>
      <c r="H441" s="196">
        <v>869</v>
      </c>
      <c r="I441" s="202">
        <f t="shared" si="77"/>
        <v>42</v>
      </c>
      <c r="J441" s="220">
        <f>I441/H441*100</f>
        <v>4.8331415420023</v>
      </c>
      <c r="K441" s="202">
        <v>762</v>
      </c>
      <c r="L441" s="202">
        <f>K441-D441</f>
        <v>-169</v>
      </c>
      <c r="M441" s="221">
        <f>L441/D441*100</f>
        <v>-18.1525241675618</v>
      </c>
      <c r="N441" s="202"/>
    </row>
    <row r="442" s="163" customFormat="1" spans="1:14">
      <c r="A442" s="192" t="s">
        <v>138</v>
      </c>
      <c r="B442" s="193">
        <v>2101103</v>
      </c>
      <c r="C442" s="193" t="s">
        <v>473</v>
      </c>
      <c r="D442" s="202">
        <v>287</v>
      </c>
      <c r="E442" s="195">
        <v>302</v>
      </c>
      <c r="F442" s="196">
        <v>249</v>
      </c>
      <c r="G442" s="197">
        <f t="shared" si="67"/>
        <v>86.7595818815331</v>
      </c>
      <c r="H442" s="196">
        <v>326</v>
      </c>
      <c r="I442" s="202">
        <f t="shared" si="77"/>
        <v>-77</v>
      </c>
      <c r="J442" s="220">
        <f>I442/H442*100</f>
        <v>-23.6196319018405</v>
      </c>
      <c r="K442" s="202">
        <f>359+48</f>
        <v>407</v>
      </c>
      <c r="L442" s="202">
        <f>K442-D442</f>
        <v>120</v>
      </c>
      <c r="M442" s="221">
        <f>L442/D442*100</f>
        <v>41.8118466898955</v>
      </c>
      <c r="N442" s="202"/>
    </row>
    <row r="443" spans="1:14">
      <c r="A443" s="198" t="s">
        <v>138</v>
      </c>
      <c r="B443" s="199">
        <v>2101199</v>
      </c>
      <c r="C443" s="199" t="s">
        <v>474</v>
      </c>
      <c r="D443" s="200"/>
      <c r="E443" s="195">
        <v>8</v>
      </c>
      <c r="F443" s="201"/>
      <c r="G443" s="197"/>
      <c r="H443" s="201">
        <v>7</v>
      </c>
      <c r="I443" s="200">
        <f t="shared" si="77"/>
        <v>-7</v>
      </c>
      <c r="J443" s="222">
        <f>I443/H443*100</f>
        <v>-100</v>
      </c>
      <c r="K443" s="200"/>
      <c r="L443" s="200"/>
      <c r="M443" s="221"/>
      <c r="N443" s="200"/>
    </row>
    <row r="444" s="162" customFormat="1" spans="1:14">
      <c r="A444" s="186" t="s">
        <v>136</v>
      </c>
      <c r="B444" s="187">
        <v>21012</v>
      </c>
      <c r="C444" s="188" t="s">
        <v>475</v>
      </c>
      <c r="D444" s="189"/>
      <c r="E444" s="190">
        <f t="shared" ref="E444:F444" si="81">SUM(E445:E447)</f>
        <v>0</v>
      </c>
      <c r="F444" s="189">
        <f t="shared" si="81"/>
        <v>201</v>
      </c>
      <c r="G444" s="191"/>
      <c r="H444" s="189"/>
      <c r="I444" s="189">
        <f t="shared" si="77"/>
        <v>201</v>
      </c>
      <c r="J444" s="218"/>
      <c r="K444" s="189">
        <f>SUM(K445:K447)</f>
        <v>188</v>
      </c>
      <c r="L444" s="189">
        <f>K444-D444</f>
        <v>188</v>
      </c>
      <c r="M444" s="191"/>
      <c r="N444" s="219"/>
    </row>
    <row r="445" spans="1:14">
      <c r="A445" s="198" t="s">
        <v>138</v>
      </c>
      <c r="B445" s="199">
        <v>2101201</v>
      </c>
      <c r="C445" s="199" t="s">
        <v>476</v>
      </c>
      <c r="D445" s="200"/>
      <c r="E445" s="195"/>
      <c r="F445" s="201"/>
      <c r="G445" s="197"/>
      <c r="H445" s="201"/>
      <c r="I445" s="200"/>
      <c r="J445" s="222"/>
      <c r="K445" s="200"/>
      <c r="L445" s="200"/>
      <c r="M445" s="221"/>
      <c r="N445" s="200"/>
    </row>
    <row r="446" spans="1:14">
      <c r="A446" s="198" t="s">
        <v>138</v>
      </c>
      <c r="B446" s="199">
        <v>2101202</v>
      </c>
      <c r="C446" s="199" t="s">
        <v>477</v>
      </c>
      <c r="D446" s="200"/>
      <c r="E446" s="195"/>
      <c r="F446" s="201">
        <v>201</v>
      </c>
      <c r="G446" s="197"/>
      <c r="H446" s="201"/>
      <c r="I446" s="200">
        <f t="shared" si="77"/>
        <v>201</v>
      </c>
      <c r="J446" s="222"/>
      <c r="K446" s="200">
        <v>188</v>
      </c>
      <c r="L446" s="200">
        <f>K446-D446</f>
        <v>188</v>
      </c>
      <c r="M446" s="221"/>
      <c r="N446" s="200"/>
    </row>
    <row r="447" spans="1:14">
      <c r="A447" s="198" t="s">
        <v>138</v>
      </c>
      <c r="B447" s="199">
        <v>2101299</v>
      </c>
      <c r="C447" s="199" t="s">
        <v>478</v>
      </c>
      <c r="D447" s="200"/>
      <c r="E447" s="195"/>
      <c r="F447" s="201"/>
      <c r="G447" s="197"/>
      <c r="H447" s="201"/>
      <c r="I447" s="200"/>
      <c r="J447" s="222"/>
      <c r="K447" s="200"/>
      <c r="L447" s="200"/>
      <c r="M447" s="221"/>
      <c r="N447" s="200"/>
    </row>
    <row r="448" s="162" customFormat="1" spans="1:14">
      <c r="A448" s="186" t="s">
        <v>136</v>
      </c>
      <c r="B448" s="187">
        <v>21013</v>
      </c>
      <c r="C448" s="188" t="s">
        <v>479</v>
      </c>
      <c r="D448" s="189"/>
      <c r="E448" s="190">
        <f t="shared" ref="E448:H448" si="82">SUM(E449:E451)</f>
        <v>163</v>
      </c>
      <c r="F448" s="189">
        <f t="shared" si="82"/>
        <v>434</v>
      </c>
      <c r="G448" s="191"/>
      <c r="H448" s="189">
        <f t="shared" si="82"/>
        <v>444</v>
      </c>
      <c r="I448" s="189">
        <f t="shared" si="77"/>
        <v>-10</v>
      </c>
      <c r="J448" s="218">
        <f>I448/H448*100</f>
        <v>-2.25225225225225</v>
      </c>
      <c r="K448" s="189">
        <f>SUM(K449:K451)</f>
        <v>315</v>
      </c>
      <c r="L448" s="189">
        <f>K448-D448</f>
        <v>315</v>
      </c>
      <c r="M448" s="191"/>
      <c r="N448" s="219"/>
    </row>
    <row r="449" spans="1:14">
      <c r="A449" s="198" t="s">
        <v>138</v>
      </c>
      <c r="B449" s="199">
        <v>2101301</v>
      </c>
      <c r="C449" s="199" t="s">
        <v>480</v>
      </c>
      <c r="D449" s="200"/>
      <c r="E449" s="195">
        <v>163</v>
      </c>
      <c r="F449" s="201">
        <v>434</v>
      </c>
      <c r="G449" s="197"/>
      <c r="H449" s="201">
        <v>444</v>
      </c>
      <c r="I449" s="200">
        <f t="shared" si="77"/>
        <v>-10</v>
      </c>
      <c r="J449" s="222">
        <f>I449/H449*100</f>
        <v>-2.25225225225225</v>
      </c>
      <c r="K449" s="200">
        <f>61+54+200</f>
        <v>315</v>
      </c>
      <c r="L449" s="200">
        <f>K449-D449</f>
        <v>315</v>
      </c>
      <c r="M449" s="221"/>
      <c r="N449" s="200"/>
    </row>
    <row r="450" spans="1:14">
      <c r="A450" s="198" t="s">
        <v>138</v>
      </c>
      <c r="B450" s="199">
        <v>2101302</v>
      </c>
      <c r="C450" s="199" t="s">
        <v>481</v>
      </c>
      <c r="D450" s="200"/>
      <c r="E450" s="195"/>
      <c r="F450" s="201"/>
      <c r="G450" s="197"/>
      <c r="H450" s="201"/>
      <c r="I450" s="200"/>
      <c r="J450" s="222"/>
      <c r="K450" s="200"/>
      <c r="L450" s="200"/>
      <c r="M450" s="221"/>
      <c r="N450" s="200"/>
    </row>
    <row r="451" spans="1:14">
      <c r="A451" s="198" t="s">
        <v>138</v>
      </c>
      <c r="B451" s="199">
        <v>2101399</v>
      </c>
      <c r="C451" s="199" t="s">
        <v>482</v>
      </c>
      <c r="D451" s="200"/>
      <c r="E451" s="195"/>
      <c r="F451" s="201"/>
      <c r="G451" s="197"/>
      <c r="H451" s="201"/>
      <c r="I451" s="200"/>
      <c r="J451" s="222"/>
      <c r="K451" s="200"/>
      <c r="L451" s="200"/>
      <c r="M451" s="221"/>
      <c r="N451" s="200"/>
    </row>
    <row r="452" s="162" customFormat="1" spans="1:14">
      <c r="A452" s="186" t="s">
        <v>136</v>
      </c>
      <c r="B452" s="187">
        <v>21014</v>
      </c>
      <c r="C452" s="188" t="s">
        <v>483</v>
      </c>
      <c r="D452" s="189"/>
      <c r="E452" s="190">
        <f t="shared" ref="E452:H452" si="83">SUM(E453:E454)</f>
        <v>9</v>
      </c>
      <c r="F452" s="189">
        <f t="shared" si="83"/>
        <v>10</v>
      </c>
      <c r="G452" s="191"/>
      <c r="H452" s="189">
        <f t="shared" si="83"/>
        <v>10</v>
      </c>
      <c r="I452" s="189"/>
      <c r="J452" s="218"/>
      <c r="K452" s="189"/>
      <c r="L452" s="189"/>
      <c r="M452" s="191"/>
      <c r="N452" s="219"/>
    </row>
    <row r="453" spans="1:14">
      <c r="A453" s="198" t="s">
        <v>138</v>
      </c>
      <c r="B453" s="199">
        <v>2101401</v>
      </c>
      <c r="C453" s="199" t="s">
        <v>484</v>
      </c>
      <c r="D453" s="200"/>
      <c r="E453" s="195">
        <v>8</v>
      </c>
      <c r="F453" s="201">
        <v>10</v>
      </c>
      <c r="G453" s="197"/>
      <c r="H453" s="201">
        <v>10</v>
      </c>
      <c r="I453" s="200"/>
      <c r="J453" s="222"/>
      <c r="K453" s="200"/>
      <c r="L453" s="200"/>
      <c r="M453" s="221"/>
      <c r="N453" s="200"/>
    </row>
    <row r="454" spans="1:14">
      <c r="A454" s="198" t="s">
        <v>138</v>
      </c>
      <c r="B454" s="199">
        <v>2101499</v>
      </c>
      <c r="C454" s="199" t="s">
        <v>485</v>
      </c>
      <c r="D454" s="200"/>
      <c r="E454" s="195">
        <v>1</v>
      </c>
      <c r="F454" s="201"/>
      <c r="G454" s="197"/>
      <c r="H454" s="201"/>
      <c r="I454" s="200"/>
      <c r="J454" s="222"/>
      <c r="K454" s="200"/>
      <c r="L454" s="200"/>
      <c r="M454" s="221"/>
      <c r="N454" s="200"/>
    </row>
    <row r="455" s="162" customFormat="1" spans="1:14">
      <c r="A455" s="186" t="s">
        <v>136</v>
      </c>
      <c r="B455" s="187">
        <v>21015</v>
      </c>
      <c r="C455" s="188" t="s">
        <v>486</v>
      </c>
      <c r="D455" s="189"/>
      <c r="E455" s="190">
        <f>SUM(E456:E459)</f>
        <v>0</v>
      </c>
      <c r="F455" s="189"/>
      <c r="G455" s="191"/>
      <c r="H455" s="189">
        <f>SUM(H456:H459)</f>
        <v>5</v>
      </c>
      <c r="I455" s="189">
        <f t="shared" si="77"/>
        <v>-5</v>
      </c>
      <c r="J455" s="218">
        <f>I455/H455*100</f>
        <v>-100</v>
      </c>
      <c r="K455" s="189"/>
      <c r="L455" s="189"/>
      <c r="M455" s="191"/>
      <c r="N455" s="219"/>
    </row>
    <row r="456" spans="1:14">
      <c r="A456" s="198" t="s">
        <v>138</v>
      </c>
      <c r="B456" s="199">
        <v>2101501</v>
      </c>
      <c r="C456" s="199" t="s">
        <v>139</v>
      </c>
      <c r="D456" s="200"/>
      <c r="E456" s="195"/>
      <c r="F456" s="201"/>
      <c r="G456" s="197"/>
      <c r="H456" s="201"/>
      <c r="I456" s="200"/>
      <c r="J456" s="222"/>
      <c r="K456" s="200"/>
      <c r="L456" s="200"/>
      <c r="M456" s="221"/>
      <c r="N456" s="200"/>
    </row>
    <row r="457" spans="1:14">
      <c r="A457" s="198" t="s">
        <v>138</v>
      </c>
      <c r="B457" s="199">
        <v>2101502</v>
      </c>
      <c r="C457" s="199" t="s">
        <v>140</v>
      </c>
      <c r="D457" s="200"/>
      <c r="E457" s="195"/>
      <c r="F457" s="201"/>
      <c r="G457" s="197"/>
      <c r="H457" s="201"/>
      <c r="I457" s="200"/>
      <c r="J457" s="222"/>
      <c r="K457" s="200"/>
      <c r="L457" s="200"/>
      <c r="M457" s="221"/>
      <c r="N457" s="200"/>
    </row>
    <row r="458" spans="1:14">
      <c r="A458" s="198" t="s">
        <v>138</v>
      </c>
      <c r="B458" s="199">
        <v>2101550</v>
      </c>
      <c r="C458" s="199" t="s">
        <v>148</v>
      </c>
      <c r="D458" s="200"/>
      <c r="E458" s="195"/>
      <c r="F458" s="201"/>
      <c r="G458" s="197"/>
      <c r="H458" s="201">
        <v>5</v>
      </c>
      <c r="I458" s="200">
        <f t="shared" si="77"/>
        <v>-5</v>
      </c>
      <c r="J458" s="222">
        <f>I458/H458*100</f>
        <v>-100</v>
      </c>
      <c r="K458" s="200"/>
      <c r="L458" s="200"/>
      <c r="M458" s="221"/>
      <c r="N458" s="200"/>
    </row>
    <row r="459" spans="1:14">
      <c r="A459" s="198" t="s">
        <v>138</v>
      </c>
      <c r="B459" s="199">
        <v>2101599</v>
      </c>
      <c r="C459" s="199" t="s">
        <v>487</v>
      </c>
      <c r="D459" s="200"/>
      <c r="E459" s="195"/>
      <c r="F459" s="201"/>
      <c r="G459" s="197"/>
      <c r="H459" s="201"/>
      <c r="I459" s="200"/>
      <c r="J459" s="222"/>
      <c r="K459" s="200"/>
      <c r="L459" s="200"/>
      <c r="M459" s="221"/>
      <c r="N459" s="200"/>
    </row>
    <row r="460" s="162" customFormat="1" spans="1:14">
      <c r="A460" s="186" t="s">
        <v>136</v>
      </c>
      <c r="B460" s="187">
        <v>21016</v>
      </c>
      <c r="C460" s="188" t="s">
        <v>488</v>
      </c>
      <c r="D460" s="189"/>
      <c r="E460" s="190">
        <f>E461</f>
        <v>0</v>
      </c>
      <c r="F460" s="189"/>
      <c r="G460" s="191"/>
      <c r="H460" s="189"/>
      <c r="I460" s="189"/>
      <c r="J460" s="218"/>
      <c r="K460" s="189"/>
      <c r="L460" s="189"/>
      <c r="M460" s="191"/>
      <c r="N460" s="219"/>
    </row>
    <row r="461" spans="1:14">
      <c r="A461" s="198" t="s">
        <v>138</v>
      </c>
      <c r="B461" s="199">
        <v>2101601</v>
      </c>
      <c r="C461" s="199" t="s">
        <v>489</v>
      </c>
      <c r="D461" s="200"/>
      <c r="E461" s="195"/>
      <c r="F461" s="201"/>
      <c r="G461" s="197"/>
      <c r="H461" s="201"/>
      <c r="I461" s="200"/>
      <c r="J461" s="222"/>
      <c r="K461" s="200"/>
      <c r="L461" s="200"/>
      <c r="M461" s="221"/>
      <c r="N461" s="200"/>
    </row>
    <row r="462" s="162" customFormat="1" spans="1:14">
      <c r="A462" s="186" t="s">
        <v>136</v>
      </c>
      <c r="B462" s="187">
        <v>21017</v>
      </c>
      <c r="C462" s="188" t="s">
        <v>490</v>
      </c>
      <c r="D462" s="189"/>
      <c r="E462" s="190">
        <f>SUM(E463:E463)</f>
        <v>0</v>
      </c>
      <c r="F462" s="189"/>
      <c r="G462" s="191"/>
      <c r="H462" s="189"/>
      <c r="I462" s="189"/>
      <c r="J462" s="218"/>
      <c r="K462" s="189"/>
      <c r="L462" s="189"/>
      <c r="M462" s="191"/>
      <c r="N462" s="219"/>
    </row>
    <row r="463" spans="1:14">
      <c r="A463" s="198" t="s">
        <v>138</v>
      </c>
      <c r="B463" s="199">
        <v>2101704</v>
      </c>
      <c r="C463" s="199" t="s">
        <v>491</v>
      </c>
      <c r="D463" s="200"/>
      <c r="E463" s="195"/>
      <c r="F463" s="201"/>
      <c r="G463" s="197"/>
      <c r="H463" s="201"/>
      <c r="I463" s="200"/>
      <c r="J463" s="222"/>
      <c r="K463" s="200"/>
      <c r="L463" s="200"/>
      <c r="M463" s="221"/>
      <c r="N463" s="200"/>
    </row>
    <row r="464" s="162" customFormat="1" spans="1:14">
      <c r="A464" s="186" t="s">
        <v>136</v>
      </c>
      <c r="B464" s="187">
        <v>21018</v>
      </c>
      <c r="C464" s="188" t="s">
        <v>492</v>
      </c>
      <c r="D464" s="189"/>
      <c r="E464" s="190">
        <f>SUM(E465:E465)</f>
        <v>0</v>
      </c>
      <c r="F464" s="189"/>
      <c r="G464" s="191"/>
      <c r="H464" s="189"/>
      <c r="I464" s="189"/>
      <c r="J464" s="218"/>
      <c r="K464" s="189"/>
      <c r="L464" s="189"/>
      <c r="M464" s="191"/>
      <c r="N464" s="219"/>
    </row>
    <row r="465" spans="1:14">
      <c r="A465" s="198" t="s">
        <v>138</v>
      </c>
      <c r="B465" s="199">
        <v>2101899</v>
      </c>
      <c r="C465" s="199" t="s">
        <v>493</v>
      </c>
      <c r="D465" s="200"/>
      <c r="E465" s="195"/>
      <c r="F465" s="201"/>
      <c r="G465" s="197"/>
      <c r="H465" s="201"/>
      <c r="I465" s="200"/>
      <c r="J465" s="222"/>
      <c r="K465" s="200"/>
      <c r="L465" s="200"/>
      <c r="M465" s="221"/>
      <c r="N465" s="200"/>
    </row>
    <row r="466" s="162" customFormat="1" spans="1:14">
      <c r="A466" s="186" t="s">
        <v>136</v>
      </c>
      <c r="B466" s="187">
        <v>21099</v>
      </c>
      <c r="C466" s="188" t="s">
        <v>494</v>
      </c>
      <c r="D466" s="189"/>
      <c r="E466" s="190">
        <f t="shared" ref="E466:H466" si="84">E467</f>
        <v>0</v>
      </c>
      <c r="F466" s="189"/>
      <c r="G466" s="191"/>
      <c r="H466" s="189">
        <f t="shared" si="84"/>
        <v>473</v>
      </c>
      <c r="I466" s="189">
        <f t="shared" si="77"/>
        <v>-473</v>
      </c>
      <c r="J466" s="218">
        <f>I466/H466*100</f>
        <v>-100</v>
      </c>
      <c r="K466" s="189"/>
      <c r="L466" s="189"/>
      <c r="M466" s="191"/>
      <c r="N466" s="219"/>
    </row>
    <row r="467" spans="1:14">
      <c r="A467" s="198" t="s">
        <v>138</v>
      </c>
      <c r="B467" s="199">
        <v>2109999</v>
      </c>
      <c r="C467" s="199" t="s">
        <v>495</v>
      </c>
      <c r="D467" s="200"/>
      <c r="E467" s="195"/>
      <c r="F467" s="201"/>
      <c r="G467" s="197"/>
      <c r="H467" s="201">
        <v>473</v>
      </c>
      <c r="I467" s="200">
        <f t="shared" si="77"/>
        <v>-473</v>
      </c>
      <c r="J467" s="222">
        <f>I467/H467*100</f>
        <v>-100</v>
      </c>
      <c r="K467" s="200"/>
      <c r="L467" s="200"/>
      <c r="M467" s="221"/>
      <c r="N467" s="200"/>
    </row>
    <row r="468" s="161" customFormat="1" spans="1:14">
      <c r="A468" s="181" t="s">
        <v>134</v>
      </c>
      <c r="B468" s="182">
        <v>211</v>
      </c>
      <c r="C468" s="182" t="s">
        <v>496</v>
      </c>
      <c r="D468" s="183">
        <f>D469+D471+D473+D477+D482+D484+D486+D488+D490+D492+D494+D496+D498+D500</f>
        <v>13</v>
      </c>
      <c r="E468" s="184">
        <f t="shared" ref="E468:F468" si="85">E469+E471+E473+E477+E482+E484+E486+E488+E490+E492+E494+E496+E498+E500</f>
        <v>83</v>
      </c>
      <c r="F468" s="183">
        <f t="shared" si="85"/>
        <v>1122</v>
      </c>
      <c r="G468" s="185">
        <f t="shared" ref="G456:G519" si="86">F468/D468*100</f>
        <v>8630.76923076923</v>
      </c>
      <c r="H468" s="183">
        <f>H469+H471+H473+H477+H482+H484+H486+H488+H490+H492+H494+H496+H498+H500</f>
        <v>3720</v>
      </c>
      <c r="I468" s="183">
        <f t="shared" si="77"/>
        <v>-2598</v>
      </c>
      <c r="J468" s="215">
        <f>I468/H468*100</f>
        <v>-69.8387096774194</v>
      </c>
      <c r="K468" s="183">
        <f>K469+K471+K473+K477+K482+K484+K486+K488+K490+K492+K494+K496+K498+K500</f>
        <v>200</v>
      </c>
      <c r="L468" s="216">
        <f>K468-D468</f>
        <v>187</v>
      </c>
      <c r="M468" s="217">
        <f>L468/D468*100</f>
        <v>1438.46153846154</v>
      </c>
      <c r="N468" s="216"/>
    </row>
    <row r="469" s="162" customFormat="1" spans="1:14">
      <c r="A469" s="186" t="s">
        <v>136</v>
      </c>
      <c r="B469" s="187">
        <v>21101</v>
      </c>
      <c r="C469" s="188" t="s">
        <v>497</v>
      </c>
      <c r="D469" s="189"/>
      <c r="E469" s="190">
        <f>SUM(E470:E470)</f>
        <v>0</v>
      </c>
      <c r="F469" s="189">
        <f>SUM(F470:F470)</f>
        <v>18</v>
      </c>
      <c r="G469" s="191"/>
      <c r="H469" s="189"/>
      <c r="I469" s="189">
        <f t="shared" si="77"/>
        <v>18</v>
      </c>
      <c r="J469" s="218"/>
      <c r="K469" s="189"/>
      <c r="L469" s="189"/>
      <c r="M469" s="191"/>
      <c r="N469" s="219"/>
    </row>
    <row r="470" spans="1:14">
      <c r="A470" s="198" t="s">
        <v>138</v>
      </c>
      <c r="B470" s="223">
        <v>2110103</v>
      </c>
      <c r="C470" s="91" t="s">
        <v>141</v>
      </c>
      <c r="D470" s="200"/>
      <c r="E470" s="195"/>
      <c r="F470" s="201">
        <v>18</v>
      </c>
      <c r="G470" s="197"/>
      <c r="H470" s="201"/>
      <c r="I470" s="200">
        <f t="shared" si="77"/>
        <v>18</v>
      </c>
      <c r="J470" s="222"/>
      <c r="K470" s="200"/>
      <c r="L470" s="200"/>
      <c r="M470" s="221"/>
      <c r="N470" s="200"/>
    </row>
    <row r="471" s="162" customFormat="1" spans="1:14">
      <c r="A471" s="186" t="s">
        <v>136</v>
      </c>
      <c r="B471" s="187">
        <v>21102</v>
      </c>
      <c r="C471" s="188" t="s">
        <v>498</v>
      </c>
      <c r="D471" s="189"/>
      <c r="E471" s="190">
        <f>SUM(E472:E472)</f>
        <v>0</v>
      </c>
      <c r="F471" s="189"/>
      <c r="G471" s="191"/>
      <c r="H471" s="189"/>
      <c r="I471" s="189"/>
      <c r="J471" s="218"/>
      <c r="K471" s="189"/>
      <c r="L471" s="189"/>
      <c r="M471" s="191"/>
      <c r="N471" s="219"/>
    </row>
    <row r="472" spans="1:14">
      <c r="A472" s="198" t="s">
        <v>138</v>
      </c>
      <c r="B472" s="199">
        <v>2110299</v>
      </c>
      <c r="C472" s="199" t="s">
        <v>499</v>
      </c>
      <c r="D472" s="200"/>
      <c r="E472" s="195"/>
      <c r="F472" s="201"/>
      <c r="G472" s="197"/>
      <c r="H472" s="201"/>
      <c r="I472" s="200"/>
      <c r="J472" s="222"/>
      <c r="K472" s="200"/>
      <c r="L472" s="200"/>
      <c r="M472" s="221"/>
      <c r="N472" s="200"/>
    </row>
    <row r="473" s="162" customFormat="1" spans="1:14">
      <c r="A473" s="186" t="s">
        <v>136</v>
      </c>
      <c r="B473" s="187">
        <v>21103</v>
      </c>
      <c r="C473" s="188" t="s">
        <v>500</v>
      </c>
      <c r="D473" s="189"/>
      <c r="E473" s="190">
        <f>SUM(E474:E476)</f>
        <v>0</v>
      </c>
      <c r="F473" s="189">
        <f>SUM(F474:F476)</f>
        <v>1024</v>
      </c>
      <c r="G473" s="191"/>
      <c r="H473" s="189">
        <f>SUM(H474:H476)</f>
        <v>3009</v>
      </c>
      <c r="I473" s="189">
        <f t="shared" si="77"/>
        <v>-1985</v>
      </c>
      <c r="J473" s="218">
        <f>I473/H473*100</f>
        <v>-65.9687603855101</v>
      </c>
      <c r="K473" s="189">
        <f>SUM(K474:K476)</f>
        <v>200</v>
      </c>
      <c r="L473" s="189">
        <f>K473-D473</f>
        <v>200</v>
      </c>
      <c r="M473" s="191"/>
      <c r="N473" s="219"/>
    </row>
    <row r="474" spans="1:14">
      <c r="A474" s="198" t="s">
        <v>138</v>
      </c>
      <c r="B474" s="199">
        <v>2110301</v>
      </c>
      <c r="C474" s="199" t="s">
        <v>501</v>
      </c>
      <c r="D474" s="200"/>
      <c r="E474" s="195"/>
      <c r="F474" s="201"/>
      <c r="G474" s="197"/>
      <c r="H474" s="201">
        <v>3</v>
      </c>
      <c r="I474" s="200">
        <f t="shared" si="77"/>
        <v>-3</v>
      </c>
      <c r="J474" s="222">
        <f>I474/H474*100</f>
        <v>-100</v>
      </c>
      <c r="K474" s="200"/>
      <c r="L474" s="200"/>
      <c r="M474" s="221"/>
      <c r="N474" s="200"/>
    </row>
    <row r="475" spans="1:14">
      <c r="A475" s="198" t="s">
        <v>138</v>
      </c>
      <c r="B475" s="199">
        <v>2110302</v>
      </c>
      <c r="C475" s="199" t="s">
        <v>502</v>
      </c>
      <c r="D475" s="200"/>
      <c r="E475" s="195"/>
      <c r="F475" s="201">
        <v>784</v>
      </c>
      <c r="G475" s="197"/>
      <c r="H475" s="201">
        <v>1212</v>
      </c>
      <c r="I475" s="200">
        <f t="shared" si="77"/>
        <v>-428</v>
      </c>
      <c r="J475" s="222">
        <f>I475/H475*100</f>
        <v>-35.3135313531353</v>
      </c>
      <c r="K475" s="200"/>
      <c r="L475" s="200"/>
      <c r="M475" s="221"/>
      <c r="N475" s="200"/>
    </row>
    <row r="476" spans="1:14">
      <c r="A476" s="198" t="s">
        <v>138</v>
      </c>
      <c r="B476" s="199">
        <v>2110399</v>
      </c>
      <c r="C476" s="199" t="s">
        <v>503</v>
      </c>
      <c r="D476" s="200"/>
      <c r="E476" s="195"/>
      <c r="F476" s="201">
        <v>240</v>
      </c>
      <c r="G476" s="197"/>
      <c r="H476" s="201">
        <v>1794</v>
      </c>
      <c r="I476" s="200">
        <f t="shared" si="77"/>
        <v>-1554</v>
      </c>
      <c r="J476" s="222">
        <f>I476/H476*100</f>
        <v>-86.6220735785953</v>
      </c>
      <c r="K476" s="200">
        <v>200</v>
      </c>
      <c r="L476" s="200">
        <f>K476-D476</f>
        <v>200</v>
      </c>
      <c r="M476" s="221"/>
      <c r="N476" s="200"/>
    </row>
    <row r="477" s="162" customFormat="1" spans="1:14">
      <c r="A477" s="186" t="s">
        <v>136</v>
      </c>
      <c r="B477" s="187">
        <v>21104</v>
      </c>
      <c r="C477" s="188" t="s">
        <v>504</v>
      </c>
      <c r="D477" s="189">
        <f>SUM(D478:D481)</f>
        <v>13</v>
      </c>
      <c r="E477" s="190">
        <f>SUM(E478:E481)</f>
        <v>13</v>
      </c>
      <c r="F477" s="189">
        <f>SUM(F478:F481)</f>
        <v>80</v>
      </c>
      <c r="G477" s="191">
        <f t="shared" si="86"/>
        <v>615.384615384615</v>
      </c>
      <c r="H477" s="189">
        <f>SUM(H478:H481)</f>
        <v>711</v>
      </c>
      <c r="I477" s="189">
        <f t="shared" si="77"/>
        <v>-631</v>
      </c>
      <c r="J477" s="218">
        <f>I477/H477*100</f>
        <v>-88.7482419127989</v>
      </c>
      <c r="K477" s="189"/>
      <c r="L477" s="189">
        <f>K477-D477</f>
        <v>-13</v>
      </c>
      <c r="M477" s="191">
        <f>L477/D477*100</f>
        <v>-100</v>
      </c>
      <c r="N477" s="219"/>
    </row>
    <row r="478" spans="1:14">
      <c r="A478" s="198" t="s">
        <v>138</v>
      </c>
      <c r="B478" s="199">
        <v>2110401</v>
      </c>
      <c r="C478" s="199" t="s">
        <v>505</v>
      </c>
      <c r="D478" s="200"/>
      <c r="E478" s="195"/>
      <c r="F478" s="201"/>
      <c r="G478" s="197"/>
      <c r="H478" s="201"/>
      <c r="I478" s="200"/>
      <c r="J478" s="222"/>
      <c r="K478" s="200"/>
      <c r="L478" s="200"/>
      <c r="M478" s="221"/>
      <c r="N478" s="200"/>
    </row>
    <row r="479" spans="1:14">
      <c r="A479" s="198" t="s">
        <v>138</v>
      </c>
      <c r="B479" s="199">
        <v>2110402</v>
      </c>
      <c r="C479" s="199" t="s">
        <v>506</v>
      </c>
      <c r="D479" s="200"/>
      <c r="E479" s="195"/>
      <c r="F479" s="201">
        <v>80</v>
      </c>
      <c r="G479" s="197"/>
      <c r="H479" s="201">
        <v>711</v>
      </c>
      <c r="I479" s="200">
        <f t="shared" si="77"/>
        <v>-631</v>
      </c>
      <c r="J479" s="222">
        <f>I479/H479*100</f>
        <v>-88.7482419127989</v>
      </c>
      <c r="K479" s="200"/>
      <c r="L479" s="200"/>
      <c r="M479" s="221"/>
      <c r="N479" s="200"/>
    </row>
    <row r="480" spans="1:14">
      <c r="A480" s="198" t="s">
        <v>138</v>
      </c>
      <c r="B480" s="199">
        <v>2110404</v>
      </c>
      <c r="C480" s="199" t="s">
        <v>507</v>
      </c>
      <c r="D480" s="200"/>
      <c r="E480" s="195"/>
      <c r="F480" s="201"/>
      <c r="G480" s="197"/>
      <c r="H480" s="201"/>
      <c r="I480" s="200"/>
      <c r="J480" s="222"/>
      <c r="K480" s="200"/>
      <c r="L480" s="200"/>
      <c r="M480" s="221"/>
      <c r="N480" s="200"/>
    </row>
    <row r="481" spans="1:14">
      <c r="A481" s="198" t="s">
        <v>138</v>
      </c>
      <c r="B481" s="199">
        <v>2110405</v>
      </c>
      <c r="C481" s="199" t="s">
        <v>508</v>
      </c>
      <c r="D481" s="200">
        <v>13</v>
      </c>
      <c r="E481" s="195">
        <v>13</v>
      </c>
      <c r="F481" s="201"/>
      <c r="G481" s="197"/>
      <c r="H481" s="201"/>
      <c r="I481" s="200"/>
      <c r="J481" s="222"/>
      <c r="K481" s="200"/>
      <c r="L481" s="200">
        <f>K481-D481</f>
        <v>-13</v>
      </c>
      <c r="M481" s="221">
        <f>L481/D481*100</f>
        <v>-100</v>
      </c>
      <c r="N481" s="200"/>
    </row>
    <row r="482" s="162" customFormat="1" spans="1:14">
      <c r="A482" s="186" t="s">
        <v>136</v>
      </c>
      <c r="B482" s="187">
        <v>21105</v>
      </c>
      <c r="C482" s="188" t="s">
        <v>509</v>
      </c>
      <c r="D482" s="189"/>
      <c r="E482" s="190">
        <f>SUM(E483:E483)</f>
        <v>0</v>
      </c>
      <c r="F482" s="189"/>
      <c r="G482" s="191"/>
      <c r="H482" s="189"/>
      <c r="I482" s="189"/>
      <c r="J482" s="218"/>
      <c r="K482" s="189"/>
      <c r="L482" s="189"/>
      <c r="M482" s="191"/>
      <c r="N482" s="219"/>
    </row>
    <row r="483" spans="1:14">
      <c r="A483" s="198" t="s">
        <v>138</v>
      </c>
      <c r="B483" s="199">
        <v>2110599</v>
      </c>
      <c r="C483" s="199" t="s">
        <v>510</v>
      </c>
      <c r="D483" s="200"/>
      <c r="E483" s="195"/>
      <c r="F483" s="201"/>
      <c r="G483" s="197"/>
      <c r="H483" s="201"/>
      <c r="I483" s="200"/>
      <c r="J483" s="222"/>
      <c r="K483" s="200"/>
      <c r="L483" s="200"/>
      <c r="M483" s="221"/>
      <c r="N483" s="200"/>
    </row>
    <row r="484" s="162" customFormat="1" spans="1:14">
      <c r="A484" s="186" t="s">
        <v>136</v>
      </c>
      <c r="B484" s="187">
        <v>21107</v>
      </c>
      <c r="C484" s="188" t="s">
        <v>511</v>
      </c>
      <c r="D484" s="189"/>
      <c r="E484" s="190">
        <f>SUM(E485:E485)</f>
        <v>0</v>
      </c>
      <c r="F484" s="189"/>
      <c r="G484" s="191"/>
      <c r="H484" s="189"/>
      <c r="I484" s="189"/>
      <c r="J484" s="218"/>
      <c r="K484" s="189"/>
      <c r="L484" s="189"/>
      <c r="M484" s="191"/>
      <c r="N484" s="219"/>
    </row>
    <row r="485" spans="1:14">
      <c r="A485" s="198" t="s">
        <v>138</v>
      </c>
      <c r="B485" s="199">
        <v>2110799</v>
      </c>
      <c r="C485" s="199" t="s">
        <v>512</v>
      </c>
      <c r="D485" s="200"/>
      <c r="E485" s="195"/>
      <c r="F485" s="201"/>
      <c r="G485" s="197"/>
      <c r="H485" s="201"/>
      <c r="I485" s="200"/>
      <c r="J485" s="222"/>
      <c r="K485" s="200"/>
      <c r="L485" s="200"/>
      <c r="M485" s="221"/>
      <c r="N485" s="200"/>
    </row>
    <row r="486" s="162" customFormat="1" spans="1:14">
      <c r="A486" s="186" t="s">
        <v>136</v>
      </c>
      <c r="B486" s="187">
        <v>21108</v>
      </c>
      <c r="C486" s="188" t="s">
        <v>513</v>
      </c>
      <c r="D486" s="189"/>
      <c r="E486" s="190">
        <f>SUM(E487:E487)</f>
        <v>0</v>
      </c>
      <c r="F486" s="189"/>
      <c r="G486" s="191"/>
      <c r="H486" s="189"/>
      <c r="I486" s="189"/>
      <c r="J486" s="218"/>
      <c r="K486" s="189"/>
      <c r="L486" s="189"/>
      <c r="M486" s="191"/>
      <c r="N486" s="219"/>
    </row>
    <row r="487" spans="1:14">
      <c r="A487" s="198" t="s">
        <v>138</v>
      </c>
      <c r="B487" s="199">
        <v>2110899</v>
      </c>
      <c r="C487" s="199" t="s">
        <v>514</v>
      </c>
      <c r="D487" s="200"/>
      <c r="E487" s="195"/>
      <c r="F487" s="201"/>
      <c r="G487" s="197"/>
      <c r="H487" s="201"/>
      <c r="I487" s="200"/>
      <c r="J487" s="222"/>
      <c r="K487" s="200"/>
      <c r="L487" s="200"/>
      <c r="M487" s="221"/>
      <c r="N487" s="200"/>
    </row>
    <row r="488" s="162" customFormat="1" spans="1:14">
      <c r="A488" s="186" t="s">
        <v>136</v>
      </c>
      <c r="B488" s="187">
        <v>21109</v>
      </c>
      <c r="C488" s="188" t="s">
        <v>515</v>
      </c>
      <c r="D488" s="189"/>
      <c r="E488" s="190">
        <f>E489</f>
        <v>0</v>
      </c>
      <c r="F488" s="189"/>
      <c r="G488" s="191"/>
      <c r="H488" s="189"/>
      <c r="I488" s="189"/>
      <c r="J488" s="218"/>
      <c r="K488" s="189"/>
      <c r="L488" s="189"/>
      <c r="M488" s="191"/>
      <c r="N488" s="219"/>
    </row>
    <row r="489" spans="1:14">
      <c r="A489" s="198" t="s">
        <v>138</v>
      </c>
      <c r="B489" s="199">
        <v>2110901</v>
      </c>
      <c r="C489" s="199" t="s">
        <v>516</v>
      </c>
      <c r="D489" s="200"/>
      <c r="E489" s="195"/>
      <c r="F489" s="201"/>
      <c r="G489" s="197"/>
      <c r="H489" s="201"/>
      <c r="I489" s="200"/>
      <c r="J489" s="222"/>
      <c r="K489" s="200"/>
      <c r="L489" s="200"/>
      <c r="M489" s="221"/>
      <c r="N489" s="200"/>
    </row>
    <row r="490" s="162" customFormat="1" spans="1:14">
      <c r="A490" s="186" t="s">
        <v>136</v>
      </c>
      <c r="B490" s="187">
        <v>21110</v>
      </c>
      <c r="C490" s="188" t="s">
        <v>517</v>
      </c>
      <c r="D490" s="189"/>
      <c r="E490" s="190">
        <f>E491</f>
        <v>0</v>
      </c>
      <c r="F490" s="189"/>
      <c r="G490" s="191"/>
      <c r="H490" s="189"/>
      <c r="I490" s="189"/>
      <c r="J490" s="218"/>
      <c r="K490" s="189"/>
      <c r="L490" s="189"/>
      <c r="M490" s="191"/>
      <c r="N490" s="219"/>
    </row>
    <row r="491" spans="1:14">
      <c r="A491" s="198" t="s">
        <v>138</v>
      </c>
      <c r="B491" s="199">
        <v>2111001</v>
      </c>
      <c r="C491" s="199" t="s">
        <v>518</v>
      </c>
      <c r="D491" s="200"/>
      <c r="E491" s="195"/>
      <c r="F491" s="201"/>
      <c r="G491" s="197"/>
      <c r="H491" s="201"/>
      <c r="I491" s="200"/>
      <c r="J491" s="222"/>
      <c r="K491" s="200"/>
      <c r="L491" s="200"/>
      <c r="M491" s="221"/>
      <c r="N491" s="200"/>
    </row>
    <row r="492" s="162" customFormat="1" spans="1:14">
      <c r="A492" s="186" t="s">
        <v>136</v>
      </c>
      <c r="B492" s="187">
        <v>21111</v>
      </c>
      <c r="C492" s="188" t="s">
        <v>519</v>
      </c>
      <c r="D492" s="189"/>
      <c r="E492" s="190">
        <f>SUM(E493:E493)</f>
        <v>70</v>
      </c>
      <c r="F492" s="189"/>
      <c r="G492" s="191"/>
      <c r="H492" s="189"/>
      <c r="I492" s="189"/>
      <c r="J492" s="218"/>
      <c r="K492" s="189"/>
      <c r="L492" s="189"/>
      <c r="M492" s="191"/>
      <c r="N492" s="219"/>
    </row>
    <row r="493" spans="1:14">
      <c r="A493" s="198" t="s">
        <v>138</v>
      </c>
      <c r="B493" s="199">
        <v>2111103</v>
      </c>
      <c r="C493" s="199" t="s">
        <v>520</v>
      </c>
      <c r="D493" s="200"/>
      <c r="E493" s="195">
        <v>70</v>
      </c>
      <c r="F493" s="201"/>
      <c r="G493" s="197"/>
      <c r="H493" s="201"/>
      <c r="I493" s="200"/>
      <c r="J493" s="222"/>
      <c r="K493" s="200"/>
      <c r="L493" s="200"/>
      <c r="M493" s="221"/>
      <c r="N493" s="200"/>
    </row>
    <row r="494" s="162" customFormat="1" spans="1:14">
      <c r="A494" s="186" t="s">
        <v>136</v>
      </c>
      <c r="B494" s="187">
        <v>21112</v>
      </c>
      <c r="C494" s="188" t="s">
        <v>521</v>
      </c>
      <c r="D494" s="189"/>
      <c r="E494" s="190">
        <f>E495</f>
        <v>0</v>
      </c>
      <c r="F494" s="189"/>
      <c r="G494" s="191"/>
      <c r="H494" s="189"/>
      <c r="I494" s="189"/>
      <c r="J494" s="218"/>
      <c r="K494" s="189"/>
      <c r="L494" s="189"/>
      <c r="M494" s="191"/>
      <c r="N494" s="219"/>
    </row>
    <row r="495" spans="1:14">
      <c r="A495" s="198" t="s">
        <v>138</v>
      </c>
      <c r="B495" s="199">
        <v>2111201</v>
      </c>
      <c r="C495" s="199" t="s">
        <v>522</v>
      </c>
      <c r="D495" s="200"/>
      <c r="E495" s="195"/>
      <c r="F495" s="201"/>
      <c r="G495" s="197"/>
      <c r="H495" s="201"/>
      <c r="I495" s="200"/>
      <c r="J495" s="222"/>
      <c r="K495" s="200"/>
      <c r="L495" s="200"/>
      <c r="M495" s="221"/>
      <c r="N495" s="200"/>
    </row>
    <row r="496" s="162" customFormat="1" spans="1:14">
      <c r="A496" s="186" t="s">
        <v>136</v>
      </c>
      <c r="B496" s="187">
        <v>21113</v>
      </c>
      <c r="C496" s="188" t="s">
        <v>523</v>
      </c>
      <c r="D496" s="189"/>
      <c r="E496" s="190">
        <f>E497</f>
        <v>0</v>
      </c>
      <c r="F496" s="189"/>
      <c r="G496" s="191"/>
      <c r="H496" s="189"/>
      <c r="I496" s="189"/>
      <c r="J496" s="218"/>
      <c r="K496" s="189"/>
      <c r="L496" s="189"/>
      <c r="M496" s="191"/>
      <c r="N496" s="219"/>
    </row>
    <row r="497" spans="1:14">
      <c r="A497" s="198" t="s">
        <v>138</v>
      </c>
      <c r="B497" s="199">
        <v>2111301</v>
      </c>
      <c r="C497" s="199" t="s">
        <v>524</v>
      </c>
      <c r="D497" s="200"/>
      <c r="E497" s="195"/>
      <c r="F497" s="201"/>
      <c r="G497" s="197"/>
      <c r="H497" s="201"/>
      <c r="I497" s="200"/>
      <c r="J497" s="222"/>
      <c r="K497" s="200"/>
      <c r="L497" s="200"/>
      <c r="M497" s="221"/>
      <c r="N497" s="200"/>
    </row>
    <row r="498" s="162" customFormat="1" spans="1:14">
      <c r="A498" s="186" t="s">
        <v>136</v>
      </c>
      <c r="B498" s="187">
        <v>21114</v>
      </c>
      <c r="C498" s="188" t="s">
        <v>525</v>
      </c>
      <c r="D498" s="189"/>
      <c r="E498" s="190">
        <f>SUM(E499:E499)</f>
        <v>0</v>
      </c>
      <c r="F498" s="189"/>
      <c r="G498" s="191"/>
      <c r="H498" s="189"/>
      <c r="I498" s="189"/>
      <c r="J498" s="218"/>
      <c r="K498" s="189"/>
      <c r="L498" s="189"/>
      <c r="M498" s="191"/>
      <c r="N498" s="219"/>
    </row>
    <row r="499" spans="1:14">
      <c r="A499" s="198" t="s">
        <v>138</v>
      </c>
      <c r="B499" s="199">
        <v>2111499</v>
      </c>
      <c r="C499" s="199" t="s">
        <v>526</v>
      </c>
      <c r="D499" s="200"/>
      <c r="E499" s="195"/>
      <c r="F499" s="201"/>
      <c r="G499" s="197"/>
      <c r="H499" s="201"/>
      <c r="I499" s="200"/>
      <c r="J499" s="222"/>
      <c r="K499" s="200"/>
      <c r="L499" s="200"/>
      <c r="M499" s="221"/>
      <c r="N499" s="200"/>
    </row>
    <row r="500" s="162" customFormat="1" spans="1:14">
      <c r="A500" s="186" t="s">
        <v>136</v>
      </c>
      <c r="B500" s="187">
        <v>21199</v>
      </c>
      <c r="C500" s="188" t="s">
        <v>527</v>
      </c>
      <c r="D500" s="189"/>
      <c r="E500" s="190">
        <f>E501</f>
        <v>0</v>
      </c>
      <c r="F500" s="189"/>
      <c r="G500" s="191"/>
      <c r="H500" s="189"/>
      <c r="I500" s="189"/>
      <c r="J500" s="218"/>
      <c r="K500" s="189"/>
      <c r="L500" s="189"/>
      <c r="M500" s="191"/>
      <c r="N500" s="219"/>
    </row>
    <row r="501" spans="1:14">
      <c r="A501" s="198" t="s">
        <v>138</v>
      </c>
      <c r="B501" s="199">
        <v>2119999</v>
      </c>
      <c r="C501" s="199" t="s">
        <v>528</v>
      </c>
      <c r="D501" s="200"/>
      <c r="E501" s="195"/>
      <c r="F501" s="201"/>
      <c r="G501" s="197"/>
      <c r="H501" s="201"/>
      <c r="I501" s="200"/>
      <c r="J501" s="222"/>
      <c r="K501" s="200"/>
      <c r="L501" s="200"/>
      <c r="M501" s="221"/>
      <c r="N501" s="200"/>
    </row>
    <row r="502" s="161" customFormat="1" spans="1:14">
      <c r="A502" s="181" t="s">
        <v>134</v>
      </c>
      <c r="B502" s="182">
        <v>212</v>
      </c>
      <c r="C502" s="182" t="s">
        <v>529</v>
      </c>
      <c r="D502" s="183">
        <f>D503+D509+D511+D514+D516+D518</f>
        <v>7377</v>
      </c>
      <c r="E502" s="184">
        <f t="shared" ref="E502:K502" si="87">E503+E509+E511+E514+E516+E518</f>
        <v>708</v>
      </c>
      <c r="F502" s="183">
        <f t="shared" si="87"/>
        <v>974</v>
      </c>
      <c r="G502" s="185">
        <f t="shared" si="86"/>
        <v>13.2031991324387</v>
      </c>
      <c r="H502" s="183">
        <f>H503+H509+H511+H514+H516+H518</f>
        <v>1189</v>
      </c>
      <c r="I502" s="183">
        <f t="shared" ref="I502:I508" si="88">F502-H502</f>
        <v>-215</v>
      </c>
      <c r="J502" s="215">
        <f t="shared" ref="J502:J508" si="89">I502/H502*100</f>
        <v>-18.0824222035324</v>
      </c>
      <c r="K502" s="183">
        <f t="shared" si="87"/>
        <v>676</v>
      </c>
      <c r="L502" s="216">
        <f>K502-D502</f>
        <v>-6701</v>
      </c>
      <c r="M502" s="217">
        <f>L502/D502*100</f>
        <v>-90.8363833536668</v>
      </c>
      <c r="N502" s="216"/>
    </row>
    <row r="503" s="162" customFormat="1" spans="1:14">
      <c r="A503" s="186" t="s">
        <v>136</v>
      </c>
      <c r="B503" s="187">
        <v>21201</v>
      </c>
      <c r="C503" s="188" t="s">
        <v>530</v>
      </c>
      <c r="D503" s="189">
        <f>SUM(D504:D508)</f>
        <v>261</v>
      </c>
      <c r="E503" s="190">
        <f>SUM(E504:E508)</f>
        <v>338</v>
      </c>
      <c r="F503" s="189">
        <f>SUM(F504:F508)</f>
        <v>360</v>
      </c>
      <c r="G503" s="191">
        <f t="shared" si="86"/>
        <v>137.931034482759</v>
      </c>
      <c r="H503" s="189">
        <f>SUM(H504:H508)</f>
        <v>690</v>
      </c>
      <c r="I503" s="189">
        <f t="shared" si="88"/>
        <v>-330</v>
      </c>
      <c r="J503" s="218">
        <f t="shared" si="89"/>
        <v>-47.8260869565217</v>
      </c>
      <c r="K503" s="189">
        <f>SUM(K504:K508)</f>
        <v>579</v>
      </c>
      <c r="L503" s="189">
        <f>K503-D503</f>
        <v>318</v>
      </c>
      <c r="M503" s="191">
        <f>L503/D503*100</f>
        <v>121.83908045977</v>
      </c>
      <c r="N503" s="219"/>
    </row>
    <row r="504" s="163" customFormat="1" spans="1:14">
      <c r="A504" s="192" t="s">
        <v>138</v>
      </c>
      <c r="B504" s="193">
        <v>2120101</v>
      </c>
      <c r="C504" s="193" t="s">
        <v>139</v>
      </c>
      <c r="D504" s="202">
        <v>261</v>
      </c>
      <c r="E504" s="195">
        <v>271</v>
      </c>
      <c r="F504" s="196">
        <v>288</v>
      </c>
      <c r="G504" s="197">
        <f t="shared" si="86"/>
        <v>110.344827586207</v>
      </c>
      <c r="H504" s="196">
        <v>307</v>
      </c>
      <c r="I504" s="202">
        <f t="shared" si="88"/>
        <v>-19</v>
      </c>
      <c r="J504" s="220">
        <f t="shared" si="89"/>
        <v>-6.18892508143322</v>
      </c>
      <c r="K504" s="202">
        <f>234+156</f>
        <v>390</v>
      </c>
      <c r="L504" s="202">
        <f>K504-D504</f>
        <v>129</v>
      </c>
      <c r="M504" s="221">
        <f>L504/D504*100</f>
        <v>49.4252873563218</v>
      </c>
      <c r="N504" s="202"/>
    </row>
    <row r="505" spans="1:14">
      <c r="A505" s="198" t="s">
        <v>138</v>
      </c>
      <c r="B505" s="199">
        <v>2120102</v>
      </c>
      <c r="C505" s="199" t="s">
        <v>140</v>
      </c>
      <c r="D505" s="200"/>
      <c r="E505" s="195"/>
      <c r="F505" s="201">
        <v>18</v>
      </c>
      <c r="G505" s="197"/>
      <c r="H505" s="201">
        <v>30</v>
      </c>
      <c r="I505" s="200">
        <f t="shared" si="88"/>
        <v>-12</v>
      </c>
      <c r="J505" s="222">
        <f t="shared" si="89"/>
        <v>-40</v>
      </c>
      <c r="K505" s="200"/>
      <c r="L505" s="200"/>
      <c r="M505" s="221"/>
      <c r="N505" s="200"/>
    </row>
    <row r="506" spans="1:14">
      <c r="A506" s="198" t="s">
        <v>138</v>
      </c>
      <c r="B506" s="199">
        <v>2120103</v>
      </c>
      <c r="C506" s="199" t="s">
        <v>141</v>
      </c>
      <c r="D506" s="200"/>
      <c r="E506" s="195">
        <v>59</v>
      </c>
      <c r="F506" s="201">
        <v>38</v>
      </c>
      <c r="G506" s="197"/>
      <c r="H506" s="201">
        <v>165</v>
      </c>
      <c r="I506" s="200">
        <f t="shared" si="88"/>
        <v>-127</v>
      </c>
      <c r="J506" s="222">
        <f t="shared" si="89"/>
        <v>-76.969696969697</v>
      </c>
      <c r="K506" s="200">
        <v>85</v>
      </c>
      <c r="L506" s="200">
        <f>K506-D506</f>
        <v>85</v>
      </c>
      <c r="M506" s="221"/>
      <c r="N506" s="200"/>
    </row>
    <row r="507" spans="1:14">
      <c r="A507" s="198" t="s">
        <v>138</v>
      </c>
      <c r="B507" s="199">
        <v>2120104</v>
      </c>
      <c r="C507" s="199" t="s">
        <v>531</v>
      </c>
      <c r="D507" s="200"/>
      <c r="E507" s="195"/>
      <c r="F507" s="201"/>
      <c r="G507" s="197"/>
      <c r="H507" s="201">
        <v>149</v>
      </c>
      <c r="I507" s="200">
        <f t="shared" si="88"/>
        <v>-149</v>
      </c>
      <c r="J507" s="222">
        <f t="shared" si="89"/>
        <v>-100</v>
      </c>
      <c r="K507" s="200"/>
      <c r="L507" s="200"/>
      <c r="M507" s="221"/>
      <c r="N507" s="200"/>
    </row>
    <row r="508" spans="1:14">
      <c r="A508" s="198" t="s">
        <v>138</v>
      </c>
      <c r="B508" s="199">
        <v>2120199</v>
      </c>
      <c r="C508" s="199" t="s">
        <v>532</v>
      </c>
      <c r="D508" s="200"/>
      <c r="E508" s="195">
        <v>8</v>
      </c>
      <c r="F508" s="201">
        <v>16</v>
      </c>
      <c r="G508" s="197"/>
      <c r="H508" s="201">
        <v>39</v>
      </c>
      <c r="I508" s="200">
        <f t="shared" si="88"/>
        <v>-23</v>
      </c>
      <c r="J508" s="222">
        <f t="shared" si="89"/>
        <v>-58.974358974359</v>
      </c>
      <c r="K508" s="200">
        <v>104</v>
      </c>
      <c r="L508" s="200">
        <f>K508-D508</f>
        <v>104</v>
      </c>
      <c r="M508" s="221"/>
      <c r="N508" s="200"/>
    </row>
    <row r="509" s="162" customFormat="1" spans="1:14">
      <c r="A509" s="186" t="s">
        <v>136</v>
      </c>
      <c r="B509" s="187">
        <v>21202</v>
      </c>
      <c r="C509" s="188" t="s">
        <v>533</v>
      </c>
      <c r="D509" s="189"/>
      <c r="E509" s="190">
        <f>E510</f>
        <v>0</v>
      </c>
      <c r="F509" s="189"/>
      <c r="G509" s="191"/>
      <c r="H509" s="189"/>
      <c r="I509" s="189"/>
      <c r="J509" s="218"/>
      <c r="K509" s="189">
        <f>K510</f>
        <v>44</v>
      </c>
      <c r="L509" s="189">
        <f>K509-D509</f>
        <v>44</v>
      </c>
      <c r="M509" s="191"/>
      <c r="N509" s="219"/>
    </row>
    <row r="510" spans="1:14">
      <c r="A510" s="198" t="s">
        <v>138</v>
      </c>
      <c r="B510" s="199">
        <v>2120201</v>
      </c>
      <c r="C510" s="199" t="s">
        <v>534</v>
      </c>
      <c r="D510" s="200"/>
      <c r="E510" s="195"/>
      <c r="F510" s="201"/>
      <c r="G510" s="197"/>
      <c r="H510" s="201"/>
      <c r="I510" s="200"/>
      <c r="J510" s="222"/>
      <c r="K510" s="200">
        <v>44</v>
      </c>
      <c r="L510" s="200">
        <f>K510-D510</f>
        <v>44</v>
      </c>
      <c r="M510" s="221"/>
      <c r="N510" s="200"/>
    </row>
    <row r="511" s="162" customFormat="1" spans="1:14">
      <c r="A511" s="186" t="s">
        <v>136</v>
      </c>
      <c r="B511" s="187">
        <v>21203</v>
      </c>
      <c r="C511" s="188" t="s">
        <v>535</v>
      </c>
      <c r="D511" s="189">
        <f>SUM(D512:D513)</f>
        <v>7000</v>
      </c>
      <c r="E511" s="190">
        <f t="shared" ref="E511:H511" si="90">SUM(E512:E513)</f>
        <v>0</v>
      </c>
      <c r="F511" s="189"/>
      <c r="G511" s="191"/>
      <c r="H511" s="189">
        <f t="shared" si="90"/>
        <v>112</v>
      </c>
      <c r="I511" s="189">
        <f t="shared" ref="I511:I572" si="91">F511-H511</f>
        <v>-112</v>
      </c>
      <c r="J511" s="218">
        <f t="shared" ref="J511:J572" si="92">I511/H511*100</f>
        <v>-100</v>
      </c>
      <c r="K511" s="189"/>
      <c r="L511" s="189">
        <f>K511-D511</f>
        <v>-7000</v>
      </c>
      <c r="M511" s="191">
        <f>L511/D511*100</f>
        <v>-100</v>
      </c>
      <c r="N511" s="219"/>
    </row>
    <row r="512" spans="1:14">
      <c r="A512" s="198" t="s">
        <v>138</v>
      </c>
      <c r="B512" s="199">
        <v>2120303</v>
      </c>
      <c r="C512" s="199" t="s">
        <v>536</v>
      </c>
      <c r="D512" s="200">
        <v>7000</v>
      </c>
      <c r="E512" s="195"/>
      <c r="F512" s="201"/>
      <c r="G512" s="197"/>
      <c r="H512" s="201">
        <v>51</v>
      </c>
      <c r="I512" s="200">
        <f t="shared" si="91"/>
        <v>-51</v>
      </c>
      <c r="J512" s="222">
        <f t="shared" si="92"/>
        <v>-100</v>
      </c>
      <c r="K512" s="200"/>
      <c r="L512" s="200">
        <f>K512-D512</f>
        <v>-7000</v>
      </c>
      <c r="M512" s="221">
        <f>L512/D512*100</f>
        <v>-100</v>
      </c>
      <c r="N512" s="200"/>
    </row>
    <row r="513" spans="1:14">
      <c r="A513" s="198" t="s">
        <v>138</v>
      </c>
      <c r="B513" s="199">
        <v>2120399</v>
      </c>
      <c r="C513" s="199" t="s">
        <v>537</v>
      </c>
      <c r="D513" s="200"/>
      <c r="E513" s="195"/>
      <c r="F513" s="201"/>
      <c r="G513" s="197"/>
      <c r="H513" s="201">
        <v>61</v>
      </c>
      <c r="I513" s="200">
        <f t="shared" si="91"/>
        <v>-61</v>
      </c>
      <c r="J513" s="222">
        <f t="shared" si="92"/>
        <v>-100</v>
      </c>
      <c r="K513" s="200"/>
      <c r="L513" s="200"/>
      <c r="M513" s="221"/>
      <c r="N513" s="200"/>
    </row>
    <row r="514" s="162" customFormat="1" spans="1:14">
      <c r="A514" s="186" t="s">
        <v>136</v>
      </c>
      <c r="B514" s="187">
        <v>21205</v>
      </c>
      <c r="C514" s="188" t="s">
        <v>538</v>
      </c>
      <c r="D514" s="189">
        <f>D515</f>
        <v>116</v>
      </c>
      <c r="E514" s="190">
        <f t="shared" ref="E514:H514" si="93">E515</f>
        <v>140</v>
      </c>
      <c r="F514" s="189">
        <f t="shared" si="93"/>
        <v>84</v>
      </c>
      <c r="G514" s="191">
        <f t="shared" si="86"/>
        <v>72.4137931034483</v>
      </c>
      <c r="H514" s="189">
        <f t="shared" si="93"/>
        <v>137</v>
      </c>
      <c r="I514" s="189">
        <f t="shared" si="91"/>
        <v>-53</v>
      </c>
      <c r="J514" s="218">
        <f t="shared" si="92"/>
        <v>-38.6861313868613</v>
      </c>
      <c r="K514" s="189">
        <f>K515</f>
        <v>53</v>
      </c>
      <c r="L514" s="189">
        <f>K514-D514</f>
        <v>-63</v>
      </c>
      <c r="M514" s="191">
        <f>L514/D514*100</f>
        <v>-54.3103448275862</v>
      </c>
      <c r="N514" s="219"/>
    </row>
    <row r="515" s="163" customFormat="1" spans="1:14">
      <c r="A515" s="192" t="s">
        <v>138</v>
      </c>
      <c r="B515" s="193">
        <v>2120501</v>
      </c>
      <c r="C515" s="193" t="s">
        <v>539</v>
      </c>
      <c r="D515" s="202">
        <v>116</v>
      </c>
      <c r="E515" s="195">
        <v>140</v>
      </c>
      <c r="F515" s="196">
        <v>84</v>
      </c>
      <c r="G515" s="197">
        <f t="shared" si="86"/>
        <v>72.4137931034483</v>
      </c>
      <c r="H515" s="196">
        <v>137</v>
      </c>
      <c r="I515" s="202">
        <f t="shared" si="91"/>
        <v>-53</v>
      </c>
      <c r="J515" s="220">
        <f t="shared" si="92"/>
        <v>-38.6861313868613</v>
      </c>
      <c r="K515" s="202">
        <v>53</v>
      </c>
      <c r="L515" s="202">
        <f>K515-D515</f>
        <v>-63</v>
      </c>
      <c r="M515" s="221">
        <f>L515/D515*100</f>
        <v>-54.3103448275862</v>
      </c>
      <c r="N515" s="202"/>
    </row>
    <row r="516" s="162" customFormat="1" spans="1:14">
      <c r="A516" s="186" t="s">
        <v>136</v>
      </c>
      <c r="B516" s="187">
        <v>21206</v>
      </c>
      <c r="C516" s="188" t="s">
        <v>540</v>
      </c>
      <c r="D516" s="189"/>
      <c r="E516" s="190">
        <f>E517</f>
        <v>0</v>
      </c>
      <c r="F516" s="189"/>
      <c r="G516" s="191"/>
      <c r="H516" s="189"/>
      <c r="I516" s="189"/>
      <c r="J516" s="218"/>
      <c r="K516" s="189"/>
      <c r="L516" s="189"/>
      <c r="M516" s="191"/>
      <c r="N516" s="219"/>
    </row>
    <row r="517" spans="1:14">
      <c r="A517" s="198" t="s">
        <v>138</v>
      </c>
      <c r="B517" s="199">
        <v>2120601</v>
      </c>
      <c r="C517" s="199" t="s">
        <v>541</v>
      </c>
      <c r="D517" s="200"/>
      <c r="E517" s="195"/>
      <c r="F517" s="201"/>
      <c r="G517" s="197"/>
      <c r="H517" s="201"/>
      <c r="I517" s="200"/>
      <c r="J517" s="222"/>
      <c r="K517" s="200"/>
      <c r="L517" s="200"/>
      <c r="M517" s="221"/>
      <c r="N517" s="200"/>
    </row>
    <row r="518" s="162" customFormat="1" spans="1:14">
      <c r="A518" s="186" t="s">
        <v>136</v>
      </c>
      <c r="B518" s="187">
        <v>21299</v>
      </c>
      <c r="C518" s="188" t="s">
        <v>542</v>
      </c>
      <c r="D518" s="189"/>
      <c r="E518" s="190">
        <f t="shared" ref="E518:H518" si="94">E519</f>
        <v>230</v>
      </c>
      <c r="F518" s="189">
        <f t="shared" si="94"/>
        <v>530</v>
      </c>
      <c r="G518" s="191"/>
      <c r="H518" s="189">
        <f t="shared" si="94"/>
        <v>250</v>
      </c>
      <c r="I518" s="189">
        <f t="shared" si="91"/>
        <v>280</v>
      </c>
      <c r="J518" s="218">
        <f t="shared" si="92"/>
        <v>112</v>
      </c>
      <c r="K518" s="189"/>
      <c r="L518" s="189"/>
      <c r="M518" s="191"/>
      <c r="N518" s="219"/>
    </row>
    <row r="519" spans="1:14">
      <c r="A519" s="198" t="s">
        <v>138</v>
      </c>
      <c r="B519" s="199">
        <v>2129999</v>
      </c>
      <c r="C519" s="199" t="s">
        <v>543</v>
      </c>
      <c r="D519" s="200"/>
      <c r="E519" s="195">
        <f>225+5</f>
        <v>230</v>
      </c>
      <c r="F519" s="201">
        <v>530</v>
      </c>
      <c r="G519" s="197"/>
      <c r="H519" s="201">
        <v>250</v>
      </c>
      <c r="I519" s="200">
        <f t="shared" si="91"/>
        <v>280</v>
      </c>
      <c r="J519" s="222">
        <f t="shared" si="92"/>
        <v>112</v>
      </c>
      <c r="K519" s="200"/>
      <c r="L519" s="200"/>
      <c r="M519" s="221"/>
      <c r="N519" s="200"/>
    </row>
    <row r="520" s="161" customFormat="1" spans="1:14">
      <c r="A520" s="181" t="s">
        <v>134</v>
      </c>
      <c r="B520" s="182">
        <v>213</v>
      </c>
      <c r="C520" s="182" t="s">
        <v>544</v>
      </c>
      <c r="D520" s="183">
        <f>D521+D547+D559+D579+D585+D592+D595+D597</f>
        <v>3774</v>
      </c>
      <c r="E520" s="184">
        <f t="shared" ref="E520:K520" si="95">E521+E547+E559+E579+E585+E592+E595+E597</f>
        <v>8390</v>
      </c>
      <c r="F520" s="183">
        <f t="shared" si="95"/>
        <v>14092</v>
      </c>
      <c r="G520" s="185">
        <f t="shared" ref="G520:G583" si="96">F520/D520*100</f>
        <v>373.396926338103</v>
      </c>
      <c r="H520" s="183">
        <f>H521+H547+H559+H579+H585+H592+H595+H597</f>
        <v>14398</v>
      </c>
      <c r="I520" s="183">
        <f t="shared" si="91"/>
        <v>-306</v>
      </c>
      <c r="J520" s="215">
        <f t="shared" si="92"/>
        <v>-2.1252951798861</v>
      </c>
      <c r="K520" s="183">
        <f t="shared" si="95"/>
        <v>6506</v>
      </c>
      <c r="L520" s="216">
        <f>K520-D520</f>
        <v>2732</v>
      </c>
      <c r="M520" s="217">
        <f>L520/D520*100</f>
        <v>72.3900370959194</v>
      </c>
      <c r="N520" s="216"/>
    </row>
    <row r="521" s="162" customFormat="1" spans="1:14">
      <c r="A521" s="186" t="s">
        <v>136</v>
      </c>
      <c r="B521" s="187">
        <v>21301</v>
      </c>
      <c r="C521" s="188" t="s">
        <v>545</v>
      </c>
      <c r="D521" s="189">
        <f>SUM(D522:D546)</f>
        <v>311</v>
      </c>
      <c r="E521" s="190">
        <f t="shared" ref="E521:H521" si="97">SUM(E522:E546)</f>
        <v>2637</v>
      </c>
      <c r="F521" s="189">
        <f t="shared" si="97"/>
        <v>3679</v>
      </c>
      <c r="G521" s="191">
        <f t="shared" si="96"/>
        <v>1182.95819935691</v>
      </c>
      <c r="H521" s="189">
        <f t="shared" si="97"/>
        <v>5159</v>
      </c>
      <c r="I521" s="189">
        <f t="shared" si="91"/>
        <v>-1480</v>
      </c>
      <c r="J521" s="218">
        <f t="shared" si="92"/>
        <v>-28.6877301802675</v>
      </c>
      <c r="K521" s="189">
        <f>SUM(K522:K546)</f>
        <v>953</v>
      </c>
      <c r="L521" s="189">
        <f>K521-D521</f>
        <v>642</v>
      </c>
      <c r="M521" s="191">
        <f>L521/D521*100</f>
        <v>206.430868167203</v>
      </c>
      <c r="N521" s="219"/>
    </row>
    <row r="522" s="163" customFormat="1" spans="1:14">
      <c r="A522" s="192" t="s">
        <v>138</v>
      </c>
      <c r="B522" s="193">
        <v>2130101</v>
      </c>
      <c r="C522" s="193" t="s">
        <v>139</v>
      </c>
      <c r="D522" s="202">
        <f>308-100</f>
        <v>208</v>
      </c>
      <c r="E522" s="195">
        <v>359</v>
      </c>
      <c r="F522" s="196">
        <v>434</v>
      </c>
      <c r="G522" s="197">
        <f t="shared" si="96"/>
        <v>208.653846153846</v>
      </c>
      <c r="H522" s="196">
        <v>359</v>
      </c>
      <c r="I522" s="202">
        <f t="shared" si="91"/>
        <v>75</v>
      </c>
      <c r="J522" s="220">
        <f t="shared" si="92"/>
        <v>20.891364902507</v>
      </c>
      <c r="K522" s="202">
        <v>520</v>
      </c>
      <c r="L522" s="202">
        <f>K522-D522</f>
        <v>312</v>
      </c>
      <c r="M522" s="221">
        <f>L522/D522*100</f>
        <v>150</v>
      </c>
      <c r="N522" s="202"/>
    </row>
    <row r="523" spans="1:14">
      <c r="A523" s="198" t="s">
        <v>138</v>
      </c>
      <c r="B523" s="199">
        <v>2130102</v>
      </c>
      <c r="C523" s="199" t="s">
        <v>140</v>
      </c>
      <c r="D523" s="200"/>
      <c r="E523" s="195"/>
      <c r="F523" s="201"/>
      <c r="G523" s="197"/>
      <c r="H523" s="201"/>
      <c r="I523" s="200"/>
      <c r="J523" s="222"/>
      <c r="K523" s="200"/>
      <c r="L523" s="200"/>
      <c r="M523" s="221"/>
      <c r="N523" s="200"/>
    </row>
    <row r="524" spans="1:14">
      <c r="A524" s="198" t="s">
        <v>138</v>
      </c>
      <c r="B524" s="199">
        <v>2130103</v>
      </c>
      <c r="C524" s="199" t="s">
        <v>141</v>
      </c>
      <c r="D524" s="200"/>
      <c r="E524" s="195"/>
      <c r="F524" s="201"/>
      <c r="G524" s="197"/>
      <c r="H524" s="201"/>
      <c r="I524" s="200"/>
      <c r="J524" s="222"/>
      <c r="K524" s="200"/>
      <c r="L524" s="200"/>
      <c r="M524" s="221"/>
      <c r="N524" s="200"/>
    </row>
    <row r="525" s="163" customFormat="1" spans="1:14">
      <c r="A525" s="192" t="s">
        <v>138</v>
      </c>
      <c r="B525" s="193">
        <v>2130104</v>
      </c>
      <c r="C525" s="193" t="s">
        <v>148</v>
      </c>
      <c r="D525" s="202">
        <v>65</v>
      </c>
      <c r="E525" s="195">
        <v>90</v>
      </c>
      <c r="F525" s="196">
        <v>69</v>
      </c>
      <c r="G525" s="197">
        <f t="shared" si="96"/>
        <v>106.153846153846</v>
      </c>
      <c r="H525" s="196">
        <v>148</v>
      </c>
      <c r="I525" s="202">
        <f t="shared" si="91"/>
        <v>-79</v>
      </c>
      <c r="J525" s="220">
        <f t="shared" si="92"/>
        <v>-53.3783783783784</v>
      </c>
      <c r="K525" s="202">
        <v>58</v>
      </c>
      <c r="L525" s="202">
        <f>K525-D525</f>
        <v>-7</v>
      </c>
      <c r="M525" s="221">
        <f>L525/D525*100</f>
        <v>-10.7692307692308</v>
      </c>
      <c r="N525" s="202"/>
    </row>
    <row r="526" spans="1:14">
      <c r="A526" s="198" t="s">
        <v>138</v>
      </c>
      <c r="B526" s="199">
        <v>2130105</v>
      </c>
      <c r="C526" s="199" t="s">
        <v>546</v>
      </c>
      <c r="D526" s="200"/>
      <c r="E526" s="195"/>
      <c r="F526" s="201"/>
      <c r="G526" s="197"/>
      <c r="H526" s="201"/>
      <c r="I526" s="200"/>
      <c r="J526" s="222"/>
      <c r="K526" s="200"/>
      <c r="L526" s="200"/>
      <c r="M526" s="221"/>
      <c r="N526" s="200"/>
    </row>
    <row r="527" spans="1:14">
      <c r="A527" s="198" t="s">
        <v>138</v>
      </c>
      <c r="B527" s="199">
        <v>2130106</v>
      </c>
      <c r="C527" s="199" t="s">
        <v>547</v>
      </c>
      <c r="D527" s="200"/>
      <c r="E527" s="195"/>
      <c r="F527" s="201">
        <v>9</v>
      </c>
      <c r="G527" s="197"/>
      <c r="H527" s="201">
        <v>1</v>
      </c>
      <c r="I527" s="200">
        <f t="shared" si="91"/>
        <v>8</v>
      </c>
      <c r="J527" s="222">
        <f t="shared" si="92"/>
        <v>800</v>
      </c>
      <c r="K527" s="200"/>
      <c r="L527" s="200"/>
      <c r="M527" s="221"/>
      <c r="N527" s="200"/>
    </row>
    <row r="528" spans="1:14">
      <c r="A528" s="198" t="s">
        <v>138</v>
      </c>
      <c r="B528" s="199">
        <v>2130108</v>
      </c>
      <c r="C528" s="199" t="s">
        <v>548</v>
      </c>
      <c r="D528" s="200"/>
      <c r="E528" s="195">
        <v>36</v>
      </c>
      <c r="F528" s="201">
        <v>59</v>
      </c>
      <c r="G528" s="197"/>
      <c r="H528" s="201">
        <v>39</v>
      </c>
      <c r="I528" s="200">
        <f t="shared" si="91"/>
        <v>20</v>
      </c>
      <c r="J528" s="222">
        <f t="shared" si="92"/>
        <v>51.2820512820513</v>
      </c>
      <c r="K528" s="200"/>
      <c r="L528" s="200"/>
      <c r="M528" s="221"/>
      <c r="N528" s="200"/>
    </row>
    <row r="529" spans="1:14">
      <c r="A529" s="198" t="s">
        <v>138</v>
      </c>
      <c r="B529" s="199">
        <v>2130109</v>
      </c>
      <c r="C529" s="199" t="s">
        <v>549</v>
      </c>
      <c r="D529" s="200"/>
      <c r="E529" s="195">
        <v>9</v>
      </c>
      <c r="F529" s="201"/>
      <c r="G529" s="197"/>
      <c r="H529" s="201">
        <v>15</v>
      </c>
      <c r="I529" s="200">
        <f t="shared" si="91"/>
        <v>-15</v>
      </c>
      <c r="J529" s="222">
        <f t="shared" si="92"/>
        <v>-100</v>
      </c>
      <c r="K529" s="200"/>
      <c r="L529" s="200"/>
      <c r="M529" s="221"/>
      <c r="N529" s="200"/>
    </row>
    <row r="530" spans="1:14">
      <c r="A530" s="198" t="s">
        <v>138</v>
      </c>
      <c r="B530" s="199">
        <v>2130110</v>
      </c>
      <c r="C530" s="199" t="s">
        <v>550</v>
      </c>
      <c r="D530" s="200"/>
      <c r="E530" s="195"/>
      <c r="F530" s="201"/>
      <c r="G530" s="197"/>
      <c r="H530" s="201"/>
      <c r="I530" s="200"/>
      <c r="J530" s="222"/>
      <c r="K530" s="200"/>
      <c r="L530" s="200"/>
      <c r="M530" s="221"/>
      <c r="N530" s="200"/>
    </row>
    <row r="531" spans="1:14">
      <c r="A531" s="198" t="s">
        <v>138</v>
      </c>
      <c r="B531" s="199">
        <v>2130111</v>
      </c>
      <c r="C531" s="199" t="s">
        <v>551</v>
      </c>
      <c r="D531" s="200"/>
      <c r="E531" s="195">
        <v>4</v>
      </c>
      <c r="F531" s="201"/>
      <c r="G531" s="197"/>
      <c r="H531" s="201"/>
      <c r="I531" s="200"/>
      <c r="J531" s="222"/>
      <c r="K531" s="200"/>
      <c r="L531" s="200"/>
      <c r="M531" s="221"/>
      <c r="N531" s="200"/>
    </row>
    <row r="532" spans="1:14">
      <c r="A532" s="198" t="s">
        <v>138</v>
      </c>
      <c r="B532" s="199">
        <v>2130112</v>
      </c>
      <c r="C532" s="199" t="s">
        <v>552</v>
      </c>
      <c r="D532" s="200"/>
      <c r="E532" s="195">
        <v>25</v>
      </c>
      <c r="F532" s="201"/>
      <c r="G532" s="197"/>
      <c r="H532" s="201">
        <v>19</v>
      </c>
      <c r="I532" s="200">
        <f t="shared" si="91"/>
        <v>-19</v>
      </c>
      <c r="J532" s="222">
        <f t="shared" si="92"/>
        <v>-100</v>
      </c>
      <c r="K532" s="200"/>
      <c r="L532" s="200"/>
      <c r="M532" s="221"/>
      <c r="N532" s="200"/>
    </row>
    <row r="533" spans="1:14">
      <c r="A533" s="198" t="s">
        <v>138</v>
      </c>
      <c r="B533" s="199">
        <v>2130114</v>
      </c>
      <c r="C533" s="199" t="s">
        <v>553</v>
      </c>
      <c r="D533" s="200"/>
      <c r="E533" s="195"/>
      <c r="F533" s="201"/>
      <c r="G533" s="197"/>
      <c r="H533" s="201"/>
      <c r="I533" s="200"/>
      <c r="J533" s="222"/>
      <c r="K533" s="200"/>
      <c r="L533" s="200"/>
      <c r="M533" s="221"/>
      <c r="N533" s="200"/>
    </row>
    <row r="534" spans="1:14">
      <c r="A534" s="198" t="s">
        <v>138</v>
      </c>
      <c r="B534" s="199">
        <v>2130119</v>
      </c>
      <c r="C534" s="199" t="s">
        <v>554</v>
      </c>
      <c r="D534" s="200"/>
      <c r="E534" s="195"/>
      <c r="F534" s="201">
        <v>98</v>
      </c>
      <c r="G534" s="197"/>
      <c r="H534" s="201"/>
      <c r="I534" s="200">
        <f t="shared" si="91"/>
        <v>98</v>
      </c>
      <c r="J534" s="222"/>
      <c r="K534" s="200"/>
      <c r="L534" s="200"/>
      <c r="M534" s="221"/>
      <c r="N534" s="200"/>
    </row>
    <row r="535" spans="1:14">
      <c r="A535" s="198" t="s">
        <v>138</v>
      </c>
      <c r="B535" s="199">
        <v>2130120</v>
      </c>
      <c r="C535" s="199" t="s">
        <v>555</v>
      </c>
      <c r="D535" s="200"/>
      <c r="E535" s="195"/>
      <c r="F535" s="201">
        <v>465</v>
      </c>
      <c r="G535" s="197"/>
      <c r="H535" s="201"/>
      <c r="I535" s="200">
        <f t="shared" si="91"/>
        <v>465</v>
      </c>
      <c r="J535" s="222"/>
      <c r="K535" s="200"/>
      <c r="L535" s="200"/>
      <c r="M535" s="221"/>
      <c r="N535" s="200"/>
    </row>
    <row r="536" spans="1:14">
      <c r="A536" s="198" t="s">
        <v>138</v>
      </c>
      <c r="B536" s="199">
        <v>2130121</v>
      </c>
      <c r="C536" s="199" t="s">
        <v>556</v>
      </c>
      <c r="D536" s="200"/>
      <c r="E536" s="195"/>
      <c r="F536" s="201"/>
      <c r="G536" s="197"/>
      <c r="H536" s="201"/>
      <c r="I536" s="200"/>
      <c r="J536" s="222"/>
      <c r="K536" s="200"/>
      <c r="L536" s="200"/>
      <c r="M536" s="221"/>
      <c r="N536" s="200"/>
    </row>
    <row r="537" s="163" customFormat="1" spans="1:14">
      <c r="A537" s="192" t="s">
        <v>138</v>
      </c>
      <c r="B537" s="193">
        <v>2130122</v>
      </c>
      <c r="C537" s="193" t="s">
        <v>557</v>
      </c>
      <c r="D537" s="202">
        <f>126-88</f>
        <v>38</v>
      </c>
      <c r="E537" s="195">
        <v>1217</v>
      </c>
      <c r="F537" s="196">
        <v>2081</v>
      </c>
      <c r="G537" s="197">
        <f t="shared" si="96"/>
        <v>5476.31578947368</v>
      </c>
      <c r="H537" s="196">
        <v>3713</v>
      </c>
      <c r="I537" s="202">
        <f t="shared" si="91"/>
        <v>-1632</v>
      </c>
      <c r="J537" s="220">
        <f t="shared" si="92"/>
        <v>-43.9536762725559</v>
      </c>
      <c r="K537" s="202">
        <v>300</v>
      </c>
      <c r="L537" s="202">
        <f>K537-D537</f>
        <v>262</v>
      </c>
      <c r="M537" s="221">
        <f>L537/D537*100</f>
        <v>689.473684210526</v>
      </c>
      <c r="N537" s="202"/>
    </row>
    <row r="538" spans="1:14">
      <c r="A538" s="198" t="s">
        <v>138</v>
      </c>
      <c r="B538" s="199">
        <v>2130124</v>
      </c>
      <c r="C538" s="199" t="s">
        <v>558</v>
      </c>
      <c r="D538" s="200"/>
      <c r="E538" s="195">
        <v>10</v>
      </c>
      <c r="F538" s="201"/>
      <c r="G538" s="197"/>
      <c r="H538" s="201">
        <v>10</v>
      </c>
      <c r="I538" s="200">
        <f t="shared" si="91"/>
        <v>-10</v>
      </c>
      <c r="J538" s="222">
        <f t="shared" si="92"/>
        <v>-100</v>
      </c>
      <c r="K538" s="200"/>
      <c r="L538" s="200"/>
      <c r="M538" s="221"/>
      <c r="N538" s="200"/>
    </row>
    <row r="539" spans="1:14">
      <c r="A539" s="198" t="s">
        <v>138</v>
      </c>
      <c r="B539" s="199">
        <v>2130125</v>
      </c>
      <c r="C539" s="199" t="s">
        <v>559</v>
      </c>
      <c r="D539" s="200"/>
      <c r="E539" s="195"/>
      <c r="F539" s="201"/>
      <c r="G539" s="197"/>
      <c r="H539" s="201"/>
      <c r="I539" s="200"/>
      <c r="J539" s="222"/>
      <c r="K539" s="200"/>
      <c r="L539" s="200"/>
      <c r="M539" s="221"/>
      <c r="N539" s="200"/>
    </row>
    <row r="540" spans="1:14">
      <c r="A540" s="198" t="s">
        <v>138</v>
      </c>
      <c r="B540" s="199">
        <v>2130126</v>
      </c>
      <c r="C540" s="199" t="s">
        <v>560</v>
      </c>
      <c r="D540" s="200"/>
      <c r="E540" s="195">
        <v>1</v>
      </c>
      <c r="F540" s="201"/>
      <c r="G540" s="197"/>
      <c r="H540" s="201">
        <v>1</v>
      </c>
      <c r="I540" s="200">
        <f t="shared" si="91"/>
        <v>-1</v>
      </c>
      <c r="J540" s="222">
        <f t="shared" si="92"/>
        <v>-100</v>
      </c>
      <c r="K540" s="200"/>
      <c r="L540" s="200"/>
      <c r="M540" s="221"/>
      <c r="N540" s="200"/>
    </row>
    <row r="541" spans="1:14">
      <c r="A541" s="198" t="s">
        <v>138</v>
      </c>
      <c r="B541" s="199">
        <v>2130135</v>
      </c>
      <c r="C541" s="199" t="s">
        <v>561</v>
      </c>
      <c r="D541" s="200"/>
      <c r="E541" s="195">
        <v>16</v>
      </c>
      <c r="F541" s="201">
        <v>60</v>
      </c>
      <c r="G541" s="197"/>
      <c r="H541" s="201"/>
      <c r="I541" s="200">
        <f t="shared" si="91"/>
        <v>60</v>
      </c>
      <c r="J541" s="222"/>
      <c r="K541" s="200"/>
      <c r="L541" s="200"/>
      <c r="M541" s="221"/>
      <c r="N541" s="200"/>
    </row>
    <row r="542" spans="1:14">
      <c r="A542" s="198" t="s">
        <v>138</v>
      </c>
      <c r="B542" s="199">
        <v>2130142</v>
      </c>
      <c r="C542" s="199" t="s">
        <v>562</v>
      </c>
      <c r="D542" s="200"/>
      <c r="E542" s="195"/>
      <c r="F542" s="201"/>
      <c r="G542" s="197"/>
      <c r="H542" s="201">
        <v>21</v>
      </c>
      <c r="I542" s="200">
        <f t="shared" si="91"/>
        <v>-21</v>
      </c>
      <c r="J542" s="222">
        <f t="shared" si="92"/>
        <v>-100</v>
      </c>
      <c r="K542" s="200"/>
      <c r="L542" s="200"/>
      <c r="M542" s="221"/>
      <c r="N542" s="200"/>
    </row>
    <row r="543" spans="1:14">
      <c r="A543" s="198" t="s">
        <v>138</v>
      </c>
      <c r="B543" s="199">
        <v>2130148</v>
      </c>
      <c r="C543" s="199" t="s">
        <v>563</v>
      </c>
      <c r="D543" s="200"/>
      <c r="E543" s="195"/>
      <c r="F543" s="201">
        <v>4</v>
      </c>
      <c r="G543" s="197"/>
      <c r="H543" s="201">
        <v>53</v>
      </c>
      <c r="I543" s="200">
        <f t="shared" si="91"/>
        <v>-49</v>
      </c>
      <c r="J543" s="222">
        <f t="shared" si="92"/>
        <v>-92.4528301886792</v>
      </c>
      <c r="K543" s="200"/>
      <c r="L543" s="200"/>
      <c r="M543" s="221"/>
      <c r="N543" s="200"/>
    </row>
    <row r="544" spans="1:14">
      <c r="A544" s="198" t="s">
        <v>138</v>
      </c>
      <c r="B544" s="199">
        <v>2130152</v>
      </c>
      <c r="C544" s="199" t="s">
        <v>564</v>
      </c>
      <c r="D544" s="200"/>
      <c r="E544" s="195"/>
      <c r="F544" s="201"/>
      <c r="G544" s="197"/>
      <c r="H544" s="201"/>
      <c r="I544" s="200"/>
      <c r="J544" s="222"/>
      <c r="K544" s="200"/>
      <c r="L544" s="200"/>
      <c r="M544" s="221"/>
      <c r="N544" s="200"/>
    </row>
    <row r="545" spans="1:14">
      <c r="A545" s="198" t="s">
        <v>138</v>
      </c>
      <c r="B545" s="199">
        <v>2130153</v>
      </c>
      <c r="C545" s="199" t="s">
        <v>565</v>
      </c>
      <c r="D545" s="200"/>
      <c r="E545" s="195">
        <v>270</v>
      </c>
      <c r="F545" s="201">
        <v>371</v>
      </c>
      <c r="G545" s="197"/>
      <c r="H545" s="201">
        <v>678</v>
      </c>
      <c r="I545" s="200">
        <f t="shared" si="91"/>
        <v>-307</v>
      </c>
      <c r="J545" s="222">
        <f t="shared" si="92"/>
        <v>-45.2802359882006</v>
      </c>
      <c r="K545" s="200"/>
      <c r="L545" s="200"/>
      <c r="M545" s="221"/>
      <c r="N545" s="200"/>
    </row>
    <row r="546" spans="1:14">
      <c r="A546" s="198" t="s">
        <v>138</v>
      </c>
      <c r="B546" s="199">
        <v>2130199</v>
      </c>
      <c r="C546" s="199" t="s">
        <v>566</v>
      </c>
      <c r="D546" s="200"/>
      <c r="E546" s="195">
        <v>600</v>
      </c>
      <c r="F546" s="201">
        <v>29</v>
      </c>
      <c r="G546" s="197"/>
      <c r="H546" s="201">
        <v>102</v>
      </c>
      <c r="I546" s="200">
        <f t="shared" si="91"/>
        <v>-73</v>
      </c>
      <c r="J546" s="222">
        <f t="shared" si="92"/>
        <v>-71.5686274509804</v>
      </c>
      <c r="K546" s="200">
        <v>75</v>
      </c>
      <c r="L546" s="200">
        <f>K546-D546</f>
        <v>75</v>
      </c>
      <c r="M546" s="221"/>
      <c r="N546" s="200"/>
    </row>
    <row r="547" s="162" customFormat="1" spans="1:14">
      <c r="A547" s="186" t="s">
        <v>136</v>
      </c>
      <c r="B547" s="187">
        <v>21302</v>
      </c>
      <c r="C547" s="188" t="s">
        <v>567</v>
      </c>
      <c r="D547" s="189">
        <f>SUM(D548:D558)</f>
        <v>81</v>
      </c>
      <c r="E547" s="190">
        <f>SUM(E548:E558)</f>
        <v>520</v>
      </c>
      <c r="F547" s="189">
        <f>SUM(F548:F558)</f>
        <v>216</v>
      </c>
      <c r="G547" s="191">
        <f t="shared" si="96"/>
        <v>266.666666666667</v>
      </c>
      <c r="H547" s="189">
        <f>SUM(H548:H558)</f>
        <v>781</v>
      </c>
      <c r="I547" s="189">
        <f t="shared" si="91"/>
        <v>-565</v>
      </c>
      <c r="J547" s="218">
        <f t="shared" si="92"/>
        <v>-72.3431498079385</v>
      </c>
      <c r="K547" s="189">
        <f>SUM(K548:K558)</f>
        <v>206</v>
      </c>
      <c r="L547" s="189">
        <f>K547-D547</f>
        <v>125</v>
      </c>
      <c r="M547" s="191">
        <f>L547/D547*100</f>
        <v>154.320987654321</v>
      </c>
      <c r="N547" s="219"/>
    </row>
    <row r="548" s="163" customFormat="1" spans="1:14">
      <c r="A548" s="192" t="s">
        <v>138</v>
      </c>
      <c r="B548" s="193">
        <v>2130201</v>
      </c>
      <c r="C548" s="193" t="s">
        <v>139</v>
      </c>
      <c r="D548" s="202">
        <v>45</v>
      </c>
      <c r="E548" s="195">
        <v>61</v>
      </c>
      <c r="F548" s="196">
        <v>54</v>
      </c>
      <c r="G548" s="197">
        <f t="shared" si="96"/>
        <v>120</v>
      </c>
      <c r="H548" s="196">
        <v>62</v>
      </c>
      <c r="I548" s="202">
        <f t="shared" si="91"/>
        <v>-8</v>
      </c>
      <c r="J548" s="220">
        <f t="shared" si="92"/>
        <v>-12.9032258064516</v>
      </c>
      <c r="K548" s="202">
        <v>60</v>
      </c>
      <c r="L548" s="202">
        <f>K548-D548</f>
        <v>15</v>
      </c>
      <c r="M548" s="221">
        <f>L548/D548*100</f>
        <v>33.3333333333333</v>
      </c>
      <c r="N548" s="202"/>
    </row>
    <row r="549" spans="1:14">
      <c r="A549" s="198" t="s">
        <v>138</v>
      </c>
      <c r="B549" s="199">
        <v>2130202</v>
      </c>
      <c r="C549" s="199" t="s">
        <v>140</v>
      </c>
      <c r="D549" s="200"/>
      <c r="E549" s="195"/>
      <c r="F549" s="201"/>
      <c r="G549" s="197"/>
      <c r="H549" s="201"/>
      <c r="I549" s="200"/>
      <c r="J549" s="222"/>
      <c r="K549" s="200"/>
      <c r="L549" s="200"/>
      <c r="M549" s="221"/>
      <c r="N549" s="200"/>
    </row>
    <row r="550" spans="1:14">
      <c r="A550" s="198" t="s">
        <v>138</v>
      </c>
      <c r="B550" s="199">
        <v>2130203</v>
      </c>
      <c r="C550" s="199" t="s">
        <v>141</v>
      </c>
      <c r="D550" s="200"/>
      <c r="E550" s="195"/>
      <c r="F550" s="201"/>
      <c r="G550" s="197"/>
      <c r="H550" s="201"/>
      <c r="I550" s="200"/>
      <c r="J550" s="222"/>
      <c r="K550" s="200"/>
      <c r="L550" s="200"/>
      <c r="M550" s="221"/>
      <c r="N550" s="200"/>
    </row>
    <row r="551" s="163" customFormat="1" spans="1:14">
      <c r="A551" s="192" t="s">
        <v>138</v>
      </c>
      <c r="B551" s="193">
        <v>2130204</v>
      </c>
      <c r="C551" s="193" t="s">
        <v>568</v>
      </c>
      <c r="D551" s="202">
        <v>5</v>
      </c>
      <c r="E551" s="195"/>
      <c r="F551" s="196">
        <v>8</v>
      </c>
      <c r="G551" s="197">
        <f t="shared" si="96"/>
        <v>160</v>
      </c>
      <c r="H551" s="196">
        <v>18</v>
      </c>
      <c r="I551" s="202">
        <f t="shared" si="91"/>
        <v>-10</v>
      </c>
      <c r="J551" s="220">
        <f t="shared" si="92"/>
        <v>-55.5555555555556</v>
      </c>
      <c r="K551" s="202">
        <v>6</v>
      </c>
      <c r="L551" s="202">
        <f>K551-D551</f>
        <v>1</v>
      </c>
      <c r="M551" s="221">
        <f>L551/D551*100</f>
        <v>20</v>
      </c>
      <c r="N551" s="202"/>
    </row>
    <row r="552" spans="1:14">
      <c r="A552" s="198" t="s">
        <v>138</v>
      </c>
      <c r="B552" s="199">
        <v>2130205</v>
      </c>
      <c r="C552" s="199" t="s">
        <v>569</v>
      </c>
      <c r="D552" s="200"/>
      <c r="E552" s="195">
        <v>1</v>
      </c>
      <c r="F552" s="201"/>
      <c r="G552" s="197"/>
      <c r="H552" s="201">
        <v>66</v>
      </c>
      <c r="I552" s="200">
        <f t="shared" si="91"/>
        <v>-66</v>
      </c>
      <c r="J552" s="222">
        <f t="shared" si="92"/>
        <v>-100</v>
      </c>
      <c r="K552" s="200"/>
      <c r="L552" s="200"/>
      <c r="M552" s="221"/>
      <c r="N552" s="200"/>
    </row>
    <row r="553" spans="1:14">
      <c r="A553" s="198" t="s">
        <v>138</v>
      </c>
      <c r="B553" s="199">
        <v>2130206</v>
      </c>
      <c r="C553" s="199" t="s">
        <v>570</v>
      </c>
      <c r="D553" s="200"/>
      <c r="E553" s="195">
        <v>258</v>
      </c>
      <c r="F553" s="201"/>
      <c r="G553" s="197"/>
      <c r="H553" s="201"/>
      <c r="I553" s="200"/>
      <c r="J553" s="222"/>
      <c r="K553" s="200"/>
      <c r="L553" s="200"/>
      <c r="M553" s="221"/>
      <c r="N553" s="200"/>
    </row>
    <row r="554" spans="1:14">
      <c r="A554" s="198" t="s">
        <v>138</v>
      </c>
      <c r="B554" s="199">
        <v>2130207</v>
      </c>
      <c r="C554" s="199" t="s">
        <v>571</v>
      </c>
      <c r="D554" s="200">
        <v>1</v>
      </c>
      <c r="E554" s="195"/>
      <c r="F554" s="201"/>
      <c r="G554" s="197"/>
      <c r="H554" s="201">
        <v>34</v>
      </c>
      <c r="I554" s="200">
        <f t="shared" si="91"/>
        <v>-34</v>
      </c>
      <c r="J554" s="222">
        <f t="shared" si="92"/>
        <v>-100</v>
      </c>
      <c r="K554" s="200"/>
      <c r="L554" s="200">
        <f>K554-D554</f>
        <v>-1</v>
      </c>
      <c r="M554" s="221">
        <f>L554/D554*100</f>
        <v>-100</v>
      </c>
      <c r="N554" s="200"/>
    </row>
    <row r="555" spans="1:14">
      <c r="A555" s="198" t="s">
        <v>138</v>
      </c>
      <c r="B555" s="199">
        <v>2130209</v>
      </c>
      <c r="C555" s="199" t="s">
        <v>572</v>
      </c>
      <c r="D555" s="200"/>
      <c r="E555" s="195">
        <v>5</v>
      </c>
      <c r="F555" s="201">
        <v>11</v>
      </c>
      <c r="G555" s="197"/>
      <c r="H555" s="201">
        <v>188</v>
      </c>
      <c r="I555" s="200">
        <f t="shared" si="91"/>
        <v>-177</v>
      </c>
      <c r="J555" s="222">
        <f t="shared" si="92"/>
        <v>-94.1489361702128</v>
      </c>
      <c r="K555" s="200"/>
      <c r="L555" s="200"/>
      <c r="M555" s="221"/>
      <c r="N555" s="200"/>
    </row>
    <row r="556" spans="1:14">
      <c r="A556" s="198" t="s">
        <v>138</v>
      </c>
      <c r="B556" s="199">
        <v>2130211</v>
      </c>
      <c r="C556" s="199" t="s">
        <v>573</v>
      </c>
      <c r="D556" s="200">
        <v>1</v>
      </c>
      <c r="E556" s="195"/>
      <c r="F556" s="201"/>
      <c r="G556" s="197"/>
      <c r="H556" s="201"/>
      <c r="I556" s="200"/>
      <c r="J556" s="222"/>
      <c r="K556" s="200"/>
      <c r="L556" s="200">
        <f t="shared" ref="L556:L561" si="98">K556-D556</f>
        <v>-1</v>
      </c>
      <c r="M556" s="221">
        <f>L556/D556*100</f>
        <v>-100</v>
      </c>
      <c r="N556" s="200"/>
    </row>
    <row r="557" s="163" customFormat="1" spans="1:14">
      <c r="A557" s="192" t="s">
        <v>138</v>
      </c>
      <c r="B557" s="193">
        <v>2130234</v>
      </c>
      <c r="C557" s="193" t="s">
        <v>574</v>
      </c>
      <c r="D557" s="202">
        <v>5</v>
      </c>
      <c r="E557" s="195">
        <v>30</v>
      </c>
      <c r="F557" s="196">
        <v>34</v>
      </c>
      <c r="G557" s="197">
        <f t="shared" si="96"/>
        <v>680</v>
      </c>
      <c r="H557" s="196">
        <v>336</v>
      </c>
      <c r="I557" s="202">
        <f t="shared" si="91"/>
        <v>-302</v>
      </c>
      <c r="J557" s="220">
        <f t="shared" si="92"/>
        <v>-89.8809523809524</v>
      </c>
      <c r="K557" s="202">
        <v>134</v>
      </c>
      <c r="L557" s="202">
        <f t="shared" si="98"/>
        <v>129</v>
      </c>
      <c r="M557" s="221">
        <f>L557/D557*100</f>
        <v>2580</v>
      </c>
      <c r="N557" s="202"/>
    </row>
    <row r="558" s="163" customFormat="1" spans="1:14">
      <c r="A558" s="192" t="s">
        <v>138</v>
      </c>
      <c r="B558" s="193">
        <v>2130299</v>
      </c>
      <c r="C558" s="193" t="s">
        <v>575</v>
      </c>
      <c r="D558" s="202">
        <f>74-50</f>
        <v>24</v>
      </c>
      <c r="E558" s="195">
        <v>165</v>
      </c>
      <c r="F558" s="196">
        <v>109</v>
      </c>
      <c r="G558" s="197">
        <f t="shared" si="96"/>
        <v>454.166666666667</v>
      </c>
      <c r="H558" s="196">
        <v>77</v>
      </c>
      <c r="I558" s="202">
        <f t="shared" si="91"/>
        <v>32</v>
      </c>
      <c r="J558" s="220">
        <f t="shared" si="92"/>
        <v>41.5584415584416</v>
      </c>
      <c r="K558" s="202">
        <v>6</v>
      </c>
      <c r="L558" s="202">
        <f t="shared" si="98"/>
        <v>-18</v>
      </c>
      <c r="M558" s="221">
        <f>L558/D558*100</f>
        <v>-75</v>
      </c>
      <c r="N558" s="202"/>
    </row>
    <row r="559" s="162" customFormat="1" spans="1:14">
      <c r="A559" s="186" t="s">
        <v>136</v>
      </c>
      <c r="B559" s="187">
        <v>21303</v>
      </c>
      <c r="C559" s="188" t="s">
        <v>576</v>
      </c>
      <c r="D559" s="189">
        <f>SUM(D560:D578)</f>
        <v>69</v>
      </c>
      <c r="E559" s="190">
        <f>SUM(E560:E578)</f>
        <v>1513</v>
      </c>
      <c r="F559" s="189">
        <f>SUM(F560:F578)</f>
        <v>3842</v>
      </c>
      <c r="G559" s="191">
        <f t="shared" si="96"/>
        <v>5568.11594202899</v>
      </c>
      <c r="H559" s="189">
        <f>SUM(H560:H578)</f>
        <v>1286</v>
      </c>
      <c r="I559" s="189">
        <f t="shared" si="91"/>
        <v>2556</v>
      </c>
      <c r="J559" s="218">
        <f t="shared" si="92"/>
        <v>198.755832037325</v>
      </c>
      <c r="K559" s="189">
        <f>SUM(K560:K578)</f>
        <v>723</v>
      </c>
      <c r="L559" s="189">
        <f t="shared" si="98"/>
        <v>654</v>
      </c>
      <c r="M559" s="191">
        <f>L559/D559*100</f>
        <v>947.826086956522</v>
      </c>
      <c r="N559" s="219"/>
    </row>
    <row r="560" s="163" customFormat="1" spans="1:14">
      <c r="A560" s="192" t="s">
        <v>138</v>
      </c>
      <c r="B560" s="193">
        <v>2130301</v>
      </c>
      <c r="C560" s="193" t="s">
        <v>139</v>
      </c>
      <c r="D560" s="202">
        <f>71-25</f>
        <v>46</v>
      </c>
      <c r="E560" s="195">
        <v>87</v>
      </c>
      <c r="F560" s="196">
        <v>97</v>
      </c>
      <c r="G560" s="197">
        <f t="shared" si="96"/>
        <v>210.869565217391</v>
      </c>
      <c r="H560" s="196">
        <v>86</v>
      </c>
      <c r="I560" s="202">
        <f t="shared" si="91"/>
        <v>11</v>
      </c>
      <c r="J560" s="220">
        <f t="shared" si="92"/>
        <v>12.7906976744186</v>
      </c>
      <c r="K560" s="202">
        <v>110</v>
      </c>
      <c r="L560" s="202">
        <f t="shared" si="98"/>
        <v>64</v>
      </c>
      <c r="M560" s="221">
        <f>L560/D560*100</f>
        <v>139.130434782609</v>
      </c>
      <c r="N560" s="202"/>
    </row>
    <row r="561" spans="1:14">
      <c r="A561" s="198" t="s">
        <v>138</v>
      </c>
      <c r="B561" s="199">
        <v>2130305</v>
      </c>
      <c r="C561" s="199" t="s">
        <v>577</v>
      </c>
      <c r="D561" s="200"/>
      <c r="E561" s="195">
        <f>218+499</f>
        <v>717</v>
      </c>
      <c r="F561" s="201">
        <v>3567</v>
      </c>
      <c r="G561" s="197"/>
      <c r="H561" s="201">
        <v>790</v>
      </c>
      <c r="I561" s="200">
        <f t="shared" si="91"/>
        <v>2777</v>
      </c>
      <c r="J561" s="222">
        <f t="shared" si="92"/>
        <v>351.518987341772</v>
      </c>
      <c r="K561" s="200">
        <f>495</f>
        <v>495</v>
      </c>
      <c r="L561" s="200">
        <f t="shared" si="98"/>
        <v>495</v>
      </c>
      <c r="M561" s="221"/>
      <c r="N561" s="200"/>
    </row>
    <row r="562" spans="1:14">
      <c r="A562" s="198" t="s">
        <v>138</v>
      </c>
      <c r="B562" s="199">
        <v>2130306</v>
      </c>
      <c r="C562" s="199" t="s">
        <v>578</v>
      </c>
      <c r="D562" s="200"/>
      <c r="E562" s="195"/>
      <c r="F562" s="201"/>
      <c r="G562" s="197"/>
      <c r="H562" s="201">
        <v>47</v>
      </c>
      <c r="I562" s="200">
        <f t="shared" si="91"/>
        <v>-47</v>
      </c>
      <c r="J562" s="222">
        <f t="shared" si="92"/>
        <v>-100</v>
      </c>
      <c r="K562" s="200"/>
      <c r="L562" s="200"/>
      <c r="M562" s="221"/>
      <c r="N562" s="200"/>
    </row>
    <row r="563" spans="1:14">
      <c r="A563" s="198" t="s">
        <v>138</v>
      </c>
      <c r="B563" s="199">
        <v>2130307</v>
      </c>
      <c r="C563" s="199" t="s">
        <v>579</v>
      </c>
      <c r="D563" s="200"/>
      <c r="E563" s="195"/>
      <c r="F563" s="201"/>
      <c r="G563" s="197"/>
      <c r="H563" s="201"/>
      <c r="I563" s="200"/>
      <c r="J563" s="222"/>
      <c r="K563" s="200"/>
      <c r="L563" s="200"/>
      <c r="M563" s="221"/>
      <c r="N563" s="200"/>
    </row>
    <row r="564" spans="1:14">
      <c r="A564" s="198" t="s">
        <v>138</v>
      </c>
      <c r="B564" s="199">
        <v>2130308</v>
      </c>
      <c r="C564" s="199" t="s">
        <v>580</v>
      </c>
      <c r="D564" s="200"/>
      <c r="E564" s="195"/>
      <c r="F564" s="201"/>
      <c r="G564" s="197"/>
      <c r="H564" s="201">
        <v>1</v>
      </c>
      <c r="I564" s="200">
        <f t="shared" si="91"/>
        <v>-1</v>
      </c>
      <c r="J564" s="222">
        <f t="shared" si="92"/>
        <v>-100</v>
      </c>
      <c r="K564" s="200"/>
      <c r="L564" s="200"/>
      <c r="M564" s="221"/>
      <c r="N564" s="200"/>
    </row>
    <row r="565" spans="1:14">
      <c r="A565" s="198" t="s">
        <v>138</v>
      </c>
      <c r="B565" s="199">
        <v>2130309</v>
      </c>
      <c r="C565" s="199" t="s">
        <v>581</v>
      </c>
      <c r="D565" s="200"/>
      <c r="E565" s="195"/>
      <c r="F565" s="201"/>
      <c r="G565" s="197"/>
      <c r="H565" s="201"/>
      <c r="I565" s="200"/>
      <c r="J565" s="222"/>
      <c r="K565" s="200"/>
      <c r="L565" s="200"/>
      <c r="M565" s="221"/>
      <c r="N565" s="200"/>
    </row>
    <row r="566" spans="1:14">
      <c r="A566" s="198" t="s">
        <v>138</v>
      </c>
      <c r="B566" s="199">
        <v>2130310</v>
      </c>
      <c r="C566" s="199" t="s">
        <v>582</v>
      </c>
      <c r="D566" s="200"/>
      <c r="E566" s="195"/>
      <c r="F566" s="201">
        <v>47</v>
      </c>
      <c r="G566" s="197"/>
      <c r="H566" s="201">
        <v>37</v>
      </c>
      <c r="I566" s="200">
        <f t="shared" si="91"/>
        <v>10</v>
      </c>
      <c r="J566" s="222">
        <f t="shared" si="92"/>
        <v>27.027027027027</v>
      </c>
      <c r="K566" s="200"/>
      <c r="L566" s="200"/>
      <c r="M566" s="221"/>
      <c r="N566" s="200"/>
    </row>
    <row r="567" spans="1:14">
      <c r="A567" s="198" t="s">
        <v>138</v>
      </c>
      <c r="B567" s="199">
        <v>2130311</v>
      </c>
      <c r="C567" s="199" t="s">
        <v>583</v>
      </c>
      <c r="D567" s="200"/>
      <c r="E567" s="195"/>
      <c r="F567" s="201"/>
      <c r="G567" s="197"/>
      <c r="H567" s="201"/>
      <c r="I567" s="200"/>
      <c r="J567" s="222"/>
      <c r="K567" s="200"/>
      <c r="L567" s="200"/>
      <c r="M567" s="221"/>
      <c r="N567" s="200"/>
    </row>
    <row r="568" spans="1:14">
      <c r="A568" s="198" t="s">
        <v>138</v>
      </c>
      <c r="B568" s="199">
        <v>2130312</v>
      </c>
      <c r="C568" s="199" t="s">
        <v>584</v>
      </c>
      <c r="D568" s="200"/>
      <c r="E568" s="195"/>
      <c r="F568" s="201"/>
      <c r="G568" s="197"/>
      <c r="H568" s="201"/>
      <c r="I568" s="200"/>
      <c r="J568" s="222"/>
      <c r="K568" s="200"/>
      <c r="L568" s="200"/>
      <c r="M568" s="221"/>
      <c r="N568" s="200"/>
    </row>
    <row r="569" spans="1:14">
      <c r="A569" s="198" t="s">
        <v>138</v>
      </c>
      <c r="B569" s="199">
        <v>2130313</v>
      </c>
      <c r="C569" s="199" t="s">
        <v>585</v>
      </c>
      <c r="D569" s="200"/>
      <c r="E569" s="195"/>
      <c r="F569" s="201"/>
      <c r="G569" s="197"/>
      <c r="H569" s="201"/>
      <c r="I569" s="200"/>
      <c r="J569" s="222"/>
      <c r="K569" s="200"/>
      <c r="L569" s="200"/>
      <c r="M569" s="221"/>
      <c r="N569" s="200"/>
    </row>
    <row r="570" spans="1:14">
      <c r="A570" s="198" t="s">
        <v>138</v>
      </c>
      <c r="B570" s="199">
        <v>2130314</v>
      </c>
      <c r="C570" s="199" t="s">
        <v>586</v>
      </c>
      <c r="D570" s="200"/>
      <c r="E570" s="195"/>
      <c r="F570" s="201">
        <v>69</v>
      </c>
      <c r="G570" s="197"/>
      <c r="H570" s="201">
        <v>68</v>
      </c>
      <c r="I570" s="200">
        <f t="shared" si="91"/>
        <v>1</v>
      </c>
      <c r="J570" s="222">
        <f t="shared" si="92"/>
        <v>1.47058823529412</v>
      </c>
      <c r="K570" s="200"/>
      <c r="L570" s="200"/>
      <c r="M570" s="221"/>
      <c r="N570" s="200"/>
    </row>
    <row r="571" spans="1:14">
      <c r="A571" s="198" t="s">
        <v>138</v>
      </c>
      <c r="B571" s="199">
        <v>2130315</v>
      </c>
      <c r="C571" s="199" t="s">
        <v>587</v>
      </c>
      <c r="D571" s="200"/>
      <c r="E571" s="195"/>
      <c r="F571" s="201"/>
      <c r="G571" s="197"/>
      <c r="H571" s="201"/>
      <c r="I571" s="200"/>
      <c r="J571" s="222"/>
      <c r="K571" s="200"/>
      <c r="L571" s="200"/>
      <c r="M571" s="221"/>
      <c r="N571" s="200"/>
    </row>
    <row r="572" spans="1:14">
      <c r="A572" s="198" t="s">
        <v>138</v>
      </c>
      <c r="B572" s="199">
        <v>2130316</v>
      </c>
      <c r="C572" s="199" t="s">
        <v>588</v>
      </c>
      <c r="D572" s="200"/>
      <c r="E572" s="195"/>
      <c r="F572" s="201"/>
      <c r="G572" s="197"/>
      <c r="H572" s="201">
        <v>65</v>
      </c>
      <c r="I572" s="200">
        <f t="shared" si="91"/>
        <v>-65</v>
      </c>
      <c r="J572" s="222">
        <f t="shared" si="92"/>
        <v>-100</v>
      </c>
      <c r="K572" s="200"/>
      <c r="L572" s="200"/>
      <c r="M572" s="221"/>
      <c r="N572" s="200"/>
    </row>
    <row r="573" spans="1:14">
      <c r="A573" s="198" t="s">
        <v>138</v>
      </c>
      <c r="B573" s="199">
        <v>2130317</v>
      </c>
      <c r="C573" s="199" t="s">
        <v>589</v>
      </c>
      <c r="D573" s="200"/>
      <c r="E573" s="195"/>
      <c r="F573" s="201"/>
      <c r="G573" s="197"/>
      <c r="H573" s="201"/>
      <c r="I573" s="200"/>
      <c r="J573" s="222"/>
      <c r="K573" s="200"/>
      <c r="L573" s="200"/>
      <c r="M573" s="221"/>
      <c r="N573" s="200"/>
    </row>
    <row r="574" spans="1:14">
      <c r="A574" s="198" t="s">
        <v>138</v>
      </c>
      <c r="B574" s="199">
        <v>2130318</v>
      </c>
      <c r="C574" s="199" t="s">
        <v>590</v>
      </c>
      <c r="D574" s="200"/>
      <c r="E574" s="195"/>
      <c r="F574" s="201"/>
      <c r="G574" s="197"/>
      <c r="H574" s="201"/>
      <c r="I574" s="200"/>
      <c r="J574" s="222"/>
      <c r="K574" s="200"/>
      <c r="L574" s="200"/>
      <c r="M574" s="221"/>
      <c r="N574" s="200"/>
    </row>
    <row r="575" spans="1:14">
      <c r="A575" s="198" t="s">
        <v>138</v>
      </c>
      <c r="B575" s="199">
        <v>2130319</v>
      </c>
      <c r="C575" s="199" t="s">
        <v>591</v>
      </c>
      <c r="D575" s="200"/>
      <c r="E575" s="195"/>
      <c r="F575" s="201"/>
      <c r="G575" s="197"/>
      <c r="H575" s="201"/>
      <c r="I575" s="200"/>
      <c r="J575" s="222"/>
      <c r="K575" s="200"/>
      <c r="L575" s="200"/>
      <c r="M575" s="221"/>
      <c r="N575" s="200"/>
    </row>
    <row r="576" spans="1:14">
      <c r="A576" s="198" t="s">
        <v>138</v>
      </c>
      <c r="B576" s="199">
        <v>2130334</v>
      </c>
      <c r="C576" s="199" t="s">
        <v>592</v>
      </c>
      <c r="D576" s="200"/>
      <c r="E576" s="195">
        <v>18</v>
      </c>
      <c r="F576" s="201">
        <v>35</v>
      </c>
      <c r="G576" s="197"/>
      <c r="H576" s="201">
        <v>26</v>
      </c>
      <c r="I576" s="200">
        <f t="shared" ref="I576:I596" si="99">F576-H576</f>
        <v>9</v>
      </c>
      <c r="J576" s="222">
        <f t="shared" ref="J576:J596" si="100">I576/H576*100</f>
        <v>34.6153846153846</v>
      </c>
      <c r="K576" s="200"/>
      <c r="L576" s="200"/>
      <c r="M576" s="221"/>
      <c r="N576" s="200"/>
    </row>
    <row r="577" spans="1:14">
      <c r="A577" s="198" t="s">
        <v>138</v>
      </c>
      <c r="B577" s="199">
        <v>2130335</v>
      </c>
      <c r="C577" s="199" t="s">
        <v>593</v>
      </c>
      <c r="D577" s="200"/>
      <c r="E577" s="195"/>
      <c r="F577" s="201">
        <v>4</v>
      </c>
      <c r="G577" s="197"/>
      <c r="H577" s="201">
        <v>127</v>
      </c>
      <c r="I577" s="200">
        <f t="shared" si="99"/>
        <v>-123</v>
      </c>
      <c r="J577" s="222">
        <f t="shared" si="100"/>
        <v>-96.8503937007874</v>
      </c>
      <c r="K577" s="200"/>
      <c r="L577" s="200"/>
      <c r="M577" s="221"/>
      <c r="N577" s="200"/>
    </row>
    <row r="578" s="163" customFormat="1" spans="1:14">
      <c r="A578" s="192" t="s">
        <v>138</v>
      </c>
      <c r="B578" s="193">
        <v>2130399</v>
      </c>
      <c r="C578" s="193" t="s">
        <v>594</v>
      </c>
      <c r="D578" s="202">
        <v>23</v>
      </c>
      <c r="E578" s="195">
        <v>691</v>
      </c>
      <c r="F578" s="196">
        <v>23</v>
      </c>
      <c r="G578" s="197">
        <f t="shared" si="96"/>
        <v>100</v>
      </c>
      <c r="H578" s="196">
        <v>39</v>
      </c>
      <c r="I578" s="202">
        <f t="shared" si="99"/>
        <v>-16</v>
      </c>
      <c r="J578" s="220">
        <f t="shared" si="100"/>
        <v>-41.025641025641</v>
      </c>
      <c r="K578" s="202">
        <v>118</v>
      </c>
      <c r="L578" s="202">
        <f>K578-D578</f>
        <v>95</v>
      </c>
      <c r="M578" s="221">
        <f>L578/D578*100</f>
        <v>413.04347826087</v>
      </c>
      <c r="N578" s="202"/>
    </row>
    <row r="579" s="162" customFormat="1" spans="1:14">
      <c r="A579" s="186" t="s">
        <v>136</v>
      </c>
      <c r="B579" s="187">
        <v>21305</v>
      </c>
      <c r="C579" s="188" t="s">
        <v>595</v>
      </c>
      <c r="D579" s="189">
        <f>SUM(D580:D584)</f>
        <v>3140</v>
      </c>
      <c r="E579" s="190">
        <f>SUM(E580:E584)</f>
        <v>2526</v>
      </c>
      <c r="F579" s="189">
        <f>SUM(F580:F584)</f>
        <v>4767</v>
      </c>
      <c r="G579" s="191">
        <f t="shared" si="96"/>
        <v>151.815286624204</v>
      </c>
      <c r="H579" s="189">
        <f>SUM(H580:H584)</f>
        <v>5821</v>
      </c>
      <c r="I579" s="189">
        <f t="shared" si="99"/>
        <v>-1054</v>
      </c>
      <c r="J579" s="218">
        <f t="shared" si="100"/>
        <v>-18.1068544923553</v>
      </c>
      <c r="K579" s="189">
        <f>SUM(K580:K584)</f>
        <v>3426</v>
      </c>
      <c r="L579" s="189">
        <f>K579-D579</f>
        <v>286</v>
      </c>
      <c r="M579" s="191">
        <f>L579/D579*100</f>
        <v>9.10828025477707</v>
      </c>
      <c r="N579" s="219"/>
    </row>
    <row r="580" s="163" customFormat="1" spans="1:14">
      <c r="A580" s="192" t="s">
        <v>138</v>
      </c>
      <c r="B580" s="193">
        <v>2130504</v>
      </c>
      <c r="C580" s="193" t="s">
        <v>596</v>
      </c>
      <c r="D580" s="202">
        <f>500+539</f>
        <v>1039</v>
      </c>
      <c r="E580" s="195">
        <v>614</v>
      </c>
      <c r="F580" s="196">
        <v>899</v>
      </c>
      <c r="G580" s="197">
        <f t="shared" si="96"/>
        <v>86.5255052935515</v>
      </c>
      <c r="H580" s="196">
        <v>1351</v>
      </c>
      <c r="I580" s="202">
        <f t="shared" si="99"/>
        <v>-452</v>
      </c>
      <c r="J580" s="220">
        <f t="shared" si="100"/>
        <v>-33.4566987416728</v>
      </c>
      <c r="K580" s="202">
        <v>1000</v>
      </c>
      <c r="L580" s="202">
        <f>K580-D580</f>
        <v>-39</v>
      </c>
      <c r="M580" s="221">
        <f>L580/D580*100</f>
        <v>-3.75360923965351</v>
      </c>
      <c r="N580" s="202"/>
    </row>
    <row r="581" s="163" customFormat="1" spans="1:14">
      <c r="A581" s="192" t="s">
        <v>138</v>
      </c>
      <c r="B581" s="193">
        <v>2130505</v>
      </c>
      <c r="C581" s="193" t="s">
        <v>597</v>
      </c>
      <c r="D581" s="202">
        <f>500+988+200</f>
        <v>1688</v>
      </c>
      <c r="E581" s="195">
        <v>500</v>
      </c>
      <c r="F581" s="196">
        <v>2935</v>
      </c>
      <c r="G581" s="197">
        <f t="shared" si="96"/>
        <v>173.874407582938</v>
      </c>
      <c r="H581" s="196">
        <v>3538</v>
      </c>
      <c r="I581" s="202">
        <f t="shared" si="99"/>
        <v>-603</v>
      </c>
      <c r="J581" s="220">
        <f t="shared" si="100"/>
        <v>-17.0435274166196</v>
      </c>
      <c r="K581" s="202">
        <v>1940</v>
      </c>
      <c r="L581" s="202">
        <f>K581-D581</f>
        <v>252</v>
      </c>
      <c r="M581" s="221">
        <f>L581/D581*100</f>
        <v>14.9289099526066</v>
      </c>
      <c r="N581" s="202"/>
    </row>
    <row r="582" spans="1:14">
      <c r="A582" s="198" t="s">
        <v>138</v>
      </c>
      <c r="B582" s="199">
        <v>2130506</v>
      </c>
      <c r="C582" s="199" t="s">
        <v>598</v>
      </c>
      <c r="D582" s="200"/>
      <c r="E582" s="195">
        <v>500</v>
      </c>
      <c r="F582" s="201"/>
      <c r="G582" s="197"/>
      <c r="H582" s="201"/>
      <c r="I582" s="200"/>
      <c r="J582" s="222"/>
      <c r="K582" s="200"/>
      <c r="L582" s="200"/>
      <c r="M582" s="221"/>
      <c r="N582" s="200"/>
    </row>
    <row r="583" spans="1:14">
      <c r="A583" s="198" t="s">
        <v>138</v>
      </c>
      <c r="B583" s="199">
        <v>2130507</v>
      </c>
      <c r="C583" s="199" t="s">
        <v>599</v>
      </c>
      <c r="D583" s="200"/>
      <c r="E583" s="195">
        <v>500</v>
      </c>
      <c r="F583" s="201">
        <v>65</v>
      </c>
      <c r="G583" s="197"/>
      <c r="H583" s="201">
        <v>110</v>
      </c>
      <c r="I583" s="200">
        <f t="shared" si="99"/>
        <v>-45</v>
      </c>
      <c r="J583" s="222">
        <f t="shared" si="100"/>
        <v>-40.9090909090909</v>
      </c>
      <c r="K583" s="200">
        <v>60</v>
      </c>
      <c r="L583" s="200">
        <f>K583-D583</f>
        <v>60</v>
      </c>
      <c r="M583" s="221"/>
      <c r="N583" s="200"/>
    </row>
    <row r="584" s="163" customFormat="1" spans="1:14">
      <c r="A584" s="192" t="s">
        <v>138</v>
      </c>
      <c r="B584" s="193">
        <v>2130599</v>
      </c>
      <c r="C584" s="193" t="s">
        <v>600</v>
      </c>
      <c r="D584" s="202">
        <f>413</f>
        <v>413</v>
      </c>
      <c r="E584" s="195">
        <v>412</v>
      </c>
      <c r="F584" s="196">
        <v>868</v>
      </c>
      <c r="G584" s="197">
        <f t="shared" ref="G584:G647" si="101">F584/D584*100</f>
        <v>210.169491525424</v>
      </c>
      <c r="H584" s="196">
        <v>822</v>
      </c>
      <c r="I584" s="202">
        <f t="shared" si="99"/>
        <v>46</v>
      </c>
      <c r="J584" s="220">
        <f t="shared" si="100"/>
        <v>5.59610705596107</v>
      </c>
      <c r="K584" s="202">
        <v>426</v>
      </c>
      <c r="L584" s="202">
        <f>K584-D584</f>
        <v>13</v>
      </c>
      <c r="M584" s="221">
        <f>L584/D584*100</f>
        <v>3.14769975786925</v>
      </c>
      <c r="N584" s="202"/>
    </row>
    <row r="585" s="162" customFormat="1" spans="1:14">
      <c r="A585" s="186" t="s">
        <v>136</v>
      </c>
      <c r="B585" s="187">
        <v>21307</v>
      </c>
      <c r="C585" s="188" t="s">
        <v>601</v>
      </c>
      <c r="D585" s="189">
        <f>SUM(D586:D591)</f>
        <v>171</v>
      </c>
      <c r="E585" s="190">
        <f t="shared" ref="E585:H585" si="102">SUM(E586:E591)</f>
        <v>776</v>
      </c>
      <c r="F585" s="189">
        <f t="shared" si="102"/>
        <v>1311</v>
      </c>
      <c r="G585" s="191">
        <f t="shared" si="101"/>
        <v>766.666666666667</v>
      </c>
      <c r="H585" s="189">
        <f t="shared" si="102"/>
        <v>1108</v>
      </c>
      <c r="I585" s="189">
        <f t="shared" si="99"/>
        <v>203</v>
      </c>
      <c r="J585" s="218">
        <f t="shared" si="100"/>
        <v>18.3212996389892</v>
      </c>
      <c r="K585" s="189">
        <f>SUM(K586:K591)</f>
        <v>1161</v>
      </c>
      <c r="L585" s="189">
        <f>K585-D585</f>
        <v>990</v>
      </c>
      <c r="M585" s="191">
        <f>L585/D585*100</f>
        <v>578.947368421053</v>
      </c>
      <c r="N585" s="219"/>
    </row>
    <row r="586" s="163" customFormat="1" spans="1:14">
      <c r="A586" s="192" t="s">
        <v>138</v>
      </c>
      <c r="B586" s="193">
        <v>2130701</v>
      </c>
      <c r="C586" s="193" t="s">
        <v>602</v>
      </c>
      <c r="D586" s="202">
        <f>94-25</f>
        <v>69</v>
      </c>
      <c r="E586" s="195">
        <v>470</v>
      </c>
      <c r="F586" s="196">
        <v>283</v>
      </c>
      <c r="G586" s="197">
        <f t="shared" si="101"/>
        <v>410.144927536232</v>
      </c>
      <c r="H586" s="196">
        <v>569</v>
      </c>
      <c r="I586" s="202">
        <f t="shared" si="99"/>
        <v>-286</v>
      </c>
      <c r="J586" s="220">
        <f t="shared" si="100"/>
        <v>-50.2636203866432</v>
      </c>
      <c r="K586" s="202">
        <f>94+99</f>
        <v>193</v>
      </c>
      <c r="L586" s="202">
        <f>K586-D586</f>
        <v>124</v>
      </c>
      <c r="M586" s="221">
        <f>L586/D586*100</f>
        <v>179.710144927536</v>
      </c>
      <c r="N586" s="202"/>
    </row>
    <row r="587" spans="1:14">
      <c r="A587" s="198" t="s">
        <v>138</v>
      </c>
      <c r="B587" s="199">
        <v>2130704</v>
      </c>
      <c r="C587" s="199" t="s">
        <v>603</v>
      </c>
      <c r="D587" s="200"/>
      <c r="E587" s="195"/>
      <c r="F587" s="201"/>
      <c r="G587" s="197"/>
      <c r="H587" s="201"/>
      <c r="I587" s="200"/>
      <c r="J587" s="222"/>
      <c r="K587" s="200"/>
      <c r="L587" s="200"/>
      <c r="M587" s="221"/>
      <c r="N587" s="200"/>
    </row>
    <row r="588" s="163" customFormat="1" spans="1:14">
      <c r="A588" s="192" t="s">
        <v>138</v>
      </c>
      <c r="B588" s="193">
        <v>2130705</v>
      </c>
      <c r="C588" s="193" t="s">
        <v>604</v>
      </c>
      <c r="D588" s="202">
        <v>102</v>
      </c>
      <c r="E588" s="195"/>
      <c r="F588" s="196">
        <v>978</v>
      </c>
      <c r="G588" s="197">
        <f t="shared" si="101"/>
        <v>958.823529411765</v>
      </c>
      <c r="H588" s="196"/>
      <c r="I588" s="202">
        <f t="shared" si="99"/>
        <v>978</v>
      </c>
      <c r="J588" s="220"/>
      <c r="K588" s="202">
        <v>968</v>
      </c>
      <c r="L588" s="202">
        <f>K588-D588</f>
        <v>866</v>
      </c>
      <c r="M588" s="221">
        <f>L588/D588*100</f>
        <v>849.019607843137</v>
      </c>
      <c r="N588" s="202"/>
    </row>
    <row r="589" spans="1:14">
      <c r="A589" s="198" t="s">
        <v>138</v>
      </c>
      <c r="B589" s="199">
        <v>2130706</v>
      </c>
      <c r="C589" s="199" t="s">
        <v>605</v>
      </c>
      <c r="D589" s="200"/>
      <c r="E589" s="195"/>
      <c r="F589" s="201"/>
      <c r="G589" s="197"/>
      <c r="H589" s="201">
        <v>450</v>
      </c>
      <c r="I589" s="200">
        <f t="shared" si="99"/>
        <v>-450</v>
      </c>
      <c r="J589" s="222">
        <f t="shared" si="100"/>
        <v>-100</v>
      </c>
      <c r="K589" s="200"/>
      <c r="L589" s="200"/>
      <c r="M589" s="221"/>
      <c r="N589" s="200"/>
    </row>
    <row r="590" spans="1:14">
      <c r="A590" s="198" t="s">
        <v>138</v>
      </c>
      <c r="B590" s="199">
        <v>2130707</v>
      </c>
      <c r="C590" s="199" t="s">
        <v>606</v>
      </c>
      <c r="D590" s="200"/>
      <c r="E590" s="195">
        <v>300</v>
      </c>
      <c r="F590" s="201">
        <v>50</v>
      </c>
      <c r="G590" s="197"/>
      <c r="H590" s="201">
        <v>84</v>
      </c>
      <c r="I590" s="200">
        <f t="shared" si="99"/>
        <v>-34</v>
      </c>
      <c r="J590" s="222">
        <f t="shared" si="100"/>
        <v>-40.4761904761905</v>
      </c>
      <c r="K590" s="200"/>
      <c r="L590" s="200"/>
      <c r="M590" s="221"/>
      <c r="N590" s="200"/>
    </row>
    <row r="591" spans="1:14">
      <c r="A591" s="198" t="s">
        <v>138</v>
      </c>
      <c r="B591" s="199">
        <v>2130799</v>
      </c>
      <c r="C591" s="199" t="s">
        <v>607</v>
      </c>
      <c r="D591" s="200"/>
      <c r="E591" s="195">
        <v>6</v>
      </c>
      <c r="F591" s="201"/>
      <c r="G591" s="197"/>
      <c r="H591" s="201">
        <v>5</v>
      </c>
      <c r="I591" s="200">
        <f t="shared" si="99"/>
        <v>-5</v>
      </c>
      <c r="J591" s="222">
        <f t="shared" si="100"/>
        <v>-100</v>
      </c>
      <c r="K591" s="200"/>
      <c r="L591" s="200"/>
      <c r="M591" s="221"/>
      <c r="N591" s="200"/>
    </row>
    <row r="592" s="162" customFormat="1" spans="1:14">
      <c r="A592" s="186" t="s">
        <v>136</v>
      </c>
      <c r="B592" s="187">
        <v>21308</v>
      </c>
      <c r="C592" s="188" t="s">
        <v>608</v>
      </c>
      <c r="D592" s="189">
        <f>SUM(D593:D594)</f>
        <v>2</v>
      </c>
      <c r="E592" s="190">
        <f>SUM(E593:E594)</f>
        <v>406</v>
      </c>
      <c r="F592" s="189">
        <f>SUM(F593:F594)</f>
        <v>277</v>
      </c>
      <c r="G592" s="191">
        <f t="shared" si="101"/>
        <v>13850</v>
      </c>
      <c r="H592" s="189">
        <f>SUM(H593:H594)</f>
        <v>230</v>
      </c>
      <c r="I592" s="189">
        <f t="shared" si="99"/>
        <v>47</v>
      </c>
      <c r="J592" s="218">
        <f t="shared" si="100"/>
        <v>20.4347826086957</v>
      </c>
      <c r="K592" s="189">
        <f>SUM(K593:K594)</f>
        <v>37</v>
      </c>
      <c r="L592" s="189">
        <f>K592-D592</f>
        <v>35</v>
      </c>
      <c r="M592" s="191">
        <f>L592/D592*100</f>
        <v>1750</v>
      </c>
      <c r="N592" s="219"/>
    </row>
    <row r="593" spans="1:14">
      <c r="A593" s="198" t="s">
        <v>138</v>
      </c>
      <c r="B593" s="199">
        <v>2130801</v>
      </c>
      <c r="C593" s="199" t="s">
        <v>609</v>
      </c>
      <c r="D593" s="200"/>
      <c r="E593" s="195"/>
      <c r="F593" s="201"/>
      <c r="G593" s="197"/>
      <c r="H593" s="201"/>
      <c r="I593" s="200"/>
      <c r="J593" s="222"/>
      <c r="K593" s="200"/>
      <c r="L593" s="200"/>
      <c r="M593" s="221"/>
      <c r="N593" s="200"/>
    </row>
    <row r="594" s="163" customFormat="1" spans="1:14">
      <c r="A594" s="192" t="s">
        <v>138</v>
      </c>
      <c r="B594" s="193">
        <v>2130803</v>
      </c>
      <c r="C594" s="193" t="s">
        <v>610</v>
      </c>
      <c r="D594" s="202">
        <v>2</v>
      </c>
      <c r="E594" s="195">
        <v>406</v>
      </c>
      <c r="F594" s="196">
        <v>277</v>
      </c>
      <c r="G594" s="197">
        <f t="shared" si="101"/>
        <v>13850</v>
      </c>
      <c r="H594" s="196">
        <v>230</v>
      </c>
      <c r="I594" s="202">
        <f t="shared" si="99"/>
        <v>47</v>
      </c>
      <c r="J594" s="220">
        <f t="shared" si="100"/>
        <v>20.4347826086957</v>
      </c>
      <c r="K594" s="202">
        <v>37</v>
      </c>
      <c r="L594" s="202">
        <f>K594-D594</f>
        <v>35</v>
      </c>
      <c r="M594" s="221">
        <f>L594/D594*100</f>
        <v>1750</v>
      </c>
      <c r="N594" s="202"/>
    </row>
    <row r="595" s="162" customFormat="1" spans="1:14">
      <c r="A595" s="186" t="s">
        <v>136</v>
      </c>
      <c r="B595" s="187">
        <v>21309</v>
      </c>
      <c r="C595" s="188" t="s">
        <v>611</v>
      </c>
      <c r="D595" s="189"/>
      <c r="E595" s="190">
        <f>SUM(E596:E596)</f>
        <v>0</v>
      </c>
      <c r="F595" s="189"/>
      <c r="G595" s="191"/>
      <c r="H595" s="189">
        <f>SUM(H596:H596)</f>
        <v>13</v>
      </c>
      <c r="I595" s="189">
        <f t="shared" si="99"/>
        <v>-13</v>
      </c>
      <c r="J595" s="218">
        <f t="shared" si="100"/>
        <v>-100</v>
      </c>
      <c r="K595" s="189"/>
      <c r="L595" s="189"/>
      <c r="M595" s="191"/>
      <c r="N595" s="219"/>
    </row>
    <row r="596" spans="1:14">
      <c r="A596" s="198" t="s">
        <v>138</v>
      </c>
      <c r="B596" s="199">
        <v>2130999</v>
      </c>
      <c r="C596" s="199" t="s">
        <v>612</v>
      </c>
      <c r="D596" s="200"/>
      <c r="E596" s="195"/>
      <c r="F596" s="201"/>
      <c r="G596" s="197"/>
      <c r="H596" s="201">
        <v>13</v>
      </c>
      <c r="I596" s="200">
        <f t="shared" si="99"/>
        <v>-13</v>
      </c>
      <c r="J596" s="222">
        <f t="shared" si="100"/>
        <v>-100</v>
      </c>
      <c r="K596" s="200"/>
      <c r="L596" s="200"/>
      <c r="M596" s="221"/>
      <c r="N596" s="200"/>
    </row>
    <row r="597" s="162" customFormat="1" spans="1:14">
      <c r="A597" s="186" t="s">
        <v>136</v>
      </c>
      <c r="B597" s="187">
        <v>21399</v>
      </c>
      <c r="C597" s="188" t="s">
        <v>613</v>
      </c>
      <c r="D597" s="189"/>
      <c r="E597" s="190">
        <f>SUM(E598:E598)</f>
        <v>12</v>
      </c>
      <c r="F597" s="189"/>
      <c r="G597" s="191"/>
      <c r="H597" s="189"/>
      <c r="I597" s="189"/>
      <c r="J597" s="218"/>
      <c r="K597" s="189"/>
      <c r="L597" s="189"/>
      <c r="M597" s="191"/>
      <c r="N597" s="219"/>
    </row>
    <row r="598" spans="1:14">
      <c r="A598" s="198" t="s">
        <v>138</v>
      </c>
      <c r="B598" s="199">
        <v>2139999</v>
      </c>
      <c r="C598" s="199" t="s">
        <v>614</v>
      </c>
      <c r="D598" s="200"/>
      <c r="E598" s="195">
        <v>12</v>
      </c>
      <c r="F598" s="201"/>
      <c r="G598" s="197"/>
      <c r="H598" s="201"/>
      <c r="I598" s="200"/>
      <c r="J598" s="222"/>
      <c r="K598" s="200"/>
      <c r="L598" s="200"/>
      <c r="M598" s="221"/>
      <c r="N598" s="200"/>
    </row>
    <row r="599" s="161" customFormat="1" spans="1:14">
      <c r="A599" s="181" t="s">
        <v>134</v>
      </c>
      <c r="B599" s="182">
        <v>214</v>
      </c>
      <c r="C599" s="182" t="s">
        <v>615</v>
      </c>
      <c r="D599" s="183">
        <f>D600+D607+D609+D611+D613</f>
        <v>3077</v>
      </c>
      <c r="E599" s="184">
        <f t="shared" ref="E599:F599" si="103">E600+E607+E609+E611+E613</f>
        <v>11443</v>
      </c>
      <c r="F599" s="183">
        <f t="shared" si="103"/>
        <v>701</v>
      </c>
      <c r="G599" s="185">
        <f t="shared" si="101"/>
        <v>22.7819304517387</v>
      </c>
      <c r="H599" s="183">
        <f>H600+H607+H609+H611+H613</f>
        <v>844</v>
      </c>
      <c r="I599" s="183">
        <f>F599-H599</f>
        <v>-143</v>
      </c>
      <c r="J599" s="215">
        <f>I599/H599*100</f>
        <v>-16.9431279620853</v>
      </c>
      <c r="K599" s="183">
        <f>K600+K607+K609+K611+K613</f>
        <v>830</v>
      </c>
      <c r="L599" s="216">
        <f>K599-D599</f>
        <v>-2247</v>
      </c>
      <c r="M599" s="217">
        <f>L599/D599*100</f>
        <v>-73.025674358141</v>
      </c>
      <c r="N599" s="216"/>
    </row>
    <row r="600" s="162" customFormat="1" spans="1:14">
      <c r="A600" s="186" t="s">
        <v>136</v>
      </c>
      <c r="B600" s="187">
        <v>21401</v>
      </c>
      <c r="C600" s="188" t="s">
        <v>616</v>
      </c>
      <c r="D600" s="189">
        <f>SUM(D601:D606)</f>
        <v>3076</v>
      </c>
      <c r="E600" s="190">
        <f>SUM(E601:E606)</f>
        <v>11419</v>
      </c>
      <c r="F600" s="189">
        <f>SUM(F601:F606)</f>
        <v>700</v>
      </c>
      <c r="G600" s="191">
        <f t="shared" si="101"/>
        <v>22.7568270481144</v>
      </c>
      <c r="H600" s="189">
        <f>SUM(H601:H606)</f>
        <v>834</v>
      </c>
      <c r="I600" s="189">
        <f>F600-H600</f>
        <v>-134</v>
      </c>
      <c r="J600" s="218">
        <f>I600/H600*100</f>
        <v>-16.0671462829736</v>
      </c>
      <c r="K600" s="189">
        <f>SUM(K601:K606)</f>
        <v>830</v>
      </c>
      <c r="L600" s="189">
        <f>K600-D600</f>
        <v>-2246</v>
      </c>
      <c r="M600" s="191">
        <f>L600/D600*100</f>
        <v>-73.0169050715214</v>
      </c>
      <c r="N600" s="219"/>
    </row>
    <row r="601" s="163" customFormat="1" spans="1:14">
      <c r="A601" s="192" t="s">
        <v>138</v>
      </c>
      <c r="B601" s="193">
        <v>2140101</v>
      </c>
      <c r="C601" s="193" t="s">
        <v>139</v>
      </c>
      <c r="D601" s="202">
        <v>20</v>
      </c>
      <c r="E601" s="195">
        <v>76</v>
      </c>
      <c r="F601" s="196">
        <v>69</v>
      </c>
      <c r="G601" s="197">
        <f t="shared" si="101"/>
        <v>345</v>
      </c>
      <c r="H601" s="196">
        <v>52</v>
      </c>
      <c r="I601" s="202">
        <f>F601-H601</f>
        <v>17</v>
      </c>
      <c r="J601" s="220">
        <f>I601/H601*100</f>
        <v>32.6923076923077</v>
      </c>
      <c r="K601" s="202">
        <v>22</v>
      </c>
      <c r="L601" s="202">
        <f>K601-D601</f>
        <v>2</v>
      </c>
      <c r="M601" s="221">
        <f>L601/D601*100</f>
        <v>10</v>
      </c>
      <c r="N601" s="202"/>
    </row>
    <row r="602" spans="1:14">
      <c r="A602" s="198" t="s">
        <v>138</v>
      </c>
      <c r="B602" s="199">
        <v>2140102</v>
      </c>
      <c r="C602" s="199" t="s">
        <v>140</v>
      </c>
      <c r="D602" s="200"/>
      <c r="E602" s="195"/>
      <c r="F602" s="201"/>
      <c r="G602" s="197"/>
      <c r="H602" s="201"/>
      <c r="I602" s="200"/>
      <c r="J602" s="222"/>
      <c r="K602" s="200"/>
      <c r="L602" s="200"/>
      <c r="M602" s="221"/>
      <c r="N602" s="200"/>
    </row>
    <row r="603" spans="1:14">
      <c r="A603" s="198" t="s">
        <v>138</v>
      </c>
      <c r="B603" s="199">
        <v>2140103</v>
      </c>
      <c r="C603" s="199" t="s">
        <v>141</v>
      </c>
      <c r="D603" s="200"/>
      <c r="E603" s="195"/>
      <c r="F603" s="201">
        <v>3</v>
      </c>
      <c r="G603" s="197"/>
      <c r="H603" s="201">
        <v>65</v>
      </c>
      <c r="I603" s="200">
        <f>F603-H603</f>
        <v>-62</v>
      </c>
      <c r="J603" s="222">
        <f>I603/H603*100</f>
        <v>-95.3846153846154</v>
      </c>
      <c r="K603" s="200"/>
      <c r="L603" s="200"/>
      <c r="M603" s="221"/>
      <c r="N603" s="200"/>
    </row>
    <row r="604" s="163" customFormat="1" spans="1:14">
      <c r="A604" s="192" t="s">
        <v>138</v>
      </c>
      <c r="B604" s="193">
        <v>2140104</v>
      </c>
      <c r="C604" s="193" t="s">
        <v>617</v>
      </c>
      <c r="D604" s="202">
        <v>3000</v>
      </c>
      <c r="E604" s="195">
        <f>10000+804+539</f>
        <v>11343</v>
      </c>
      <c r="F604" s="196">
        <v>506</v>
      </c>
      <c r="G604" s="197">
        <f t="shared" si="101"/>
        <v>16.8666666666667</v>
      </c>
      <c r="H604" s="196">
        <v>254</v>
      </c>
      <c r="I604" s="202">
        <f>F604-H604</f>
        <v>252</v>
      </c>
      <c r="J604" s="220">
        <f>I604/H604*100</f>
        <v>99.2125984251969</v>
      </c>
      <c r="K604" s="202">
        <v>629</v>
      </c>
      <c r="L604" s="202">
        <f>K604-D604</f>
        <v>-2371</v>
      </c>
      <c r="M604" s="221">
        <f>L604/D604*100</f>
        <v>-79.0333333333333</v>
      </c>
      <c r="N604" s="202"/>
    </row>
    <row r="605" spans="1:14">
      <c r="A605" s="198" t="s">
        <v>138</v>
      </c>
      <c r="B605" s="199">
        <v>2140106</v>
      </c>
      <c r="C605" s="199" t="s">
        <v>618</v>
      </c>
      <c r="D605" s="200"/>
      <c r="E605" s="195"/>
      <c r="F605" s="201">
        <v>68</v>
      </c>
      <c r="G605" s="197"/>
      <c r="H605" s="201">
        <v>437</v>
      </c>
      <c r="I605" s="200">
        <f>F605-H605</f>
        <v>-369</v>
      </c>
      <c r="J605" s="222">
        <f>I605/H605*100</f>
        <v>-84.4393592677345</v>
      </c>
      <c r="K605" s="200">
        <v>54</v>
      </c>
      <c r="L605" s="200">
        <f>K605-D605</f>
        <v>54</v>
      </c>
      <c r="M605" s="221"/>
      <c r="N605" s="200"/>
    </row>
    <row r="606" s="163" customFormat="1" spans="1:14">
      <c r="A606" s="192" t="s">
        <v>138</v>
      </c>
      <c r="B606" s="193">
        <v>2140199</v>
      </c>
      <c r="C606" s="193" t="s">
        <v>619</v>
      </c>
      <c r="D606" s="202">
        <v>56</v>
      </c>
      <c r="E606" s="195"/>
      <c r="F606" s="196">
        <v>54</v>
      </c>
      <c r="G606" s="197">
        <f t="shared" si="101"/>
        <v>96.4285714285714</v>
      </c>
      <c r="H606" s="196">
        <v>26</v>
      </c>
      <c r="I606" s="202">
        <f>F606-H606</f>
        <v>28</v>
      </c>
      <c r="J606" s="220">
        <f>I606/H606*100</f>
        <v>107.692307692308</v>
      </c>
      <c r="K606" s="202">
        <f>52+73</f>
        <v>125</v>
      </c>
      <c r="L606" s="202">
        <f>K606-D606</f>
        <v>69</v>
      </c>
      <c r="M606" s="221">
        <f>L606/D606*100</f>
        <v>123.214285714286</v>
      </c>
      <c r="N606" s="202"/>
    </row>
    <row r="607" s="162" customFormat="1" spans="1:14">
      <c r="A607" s="186" t="s">
        <v>136</v>
      </c>
      <c r="B607" s="187">
        <v>21402</v>
      </c>
      <c r="C607" s="188" t="s">
        <v>620</v>
      </c>
      <c r="D607" s="189"/>
      <c r="E607" s="190">
        <f>SUM(E608:E608)</f>
        <v>0</v>
      </c>
      <c r="F607" s="189"/>
      <c r="G607" s="191"/>
      <c r="H607" s="189"/>
      <c r="I607" s="189"/>
      <c r="J607" s="218"/>
      <c r="K607" s="189"/>
      <c r="L607" s="189"/>
      <c r="M607" s="191"/>
      <c r="N607" s="219"/>
    </row>
    <row r="608" spans="1:14">
      <c r="A608" s="198" t="s">
        <v>138</v>
      </c>
      <c r="B608" s="199">
        <v>2140299</v>
      </c>
      <c r="C608" s="199" t="s">
        <v>621</v>
      </c>
      <c r="D608" s="200"/>
      <c r="E608" s="195"/>
      <c r="F608" s="201"/>
      <c r="G608" s="197"/>
      <c r="H608" s="201"/>
      <c r="I608" s="200"/>
      <c r="J608" s="222"/>
      <c r="K608" s="200"/>
      <c r="L608" s="200"/>
      <c r="M608" s="221"/>
      <c r="N608" s="200"/>
    </row>
    <row r="609" s="162" customFormat="1" spans="1:14">
      <c r="A609" s="186" t="s">
        <v>136</v>
      </c>
      <c r="B609" s="187">
        <v>21403</v>
      </c>
      <c r="C609" s="188" t="s">
        <v>622</v>
      </c>
      <c r="D609" s="189"/>
      <c r="E609" s="190">
        <f>SUM(E610:E610)</f>
        <v>0</v>
      </c>
      <c r="F609" s="189"/>
      <c r="G609" s="191"/>
      <c r="H609" s="189"/>
      <c r="I609" s="189"/>
      <c r="J609" s="218"/>
      <c r="K609" s="189"/>
      <c r="L609" s="189"/>
      <c r="M609" s="191"/>
      <c r="N609" s="219"/>
    </row>
    <row r="610" spans="1:14">
      <c r="A610" s="198" t="s">
        <v>138</v>
      </c>
      <c r="B610" s="199">
        <v>2140399</v>
      </c>
      <c r="C610" s="199" t="s">
        <v>623</v>
      </c>
      <c r="D610" s="200"/>
      <c r="E610" s="195"/>
      <c r="F610" s="201"/>
      <c r="G610" s="197"/>
      <c r="H610" s="201"/>
      <c r="I610" s="200"/>
      <c r="J610" s="222"/>
      <c r="K610" s="200"/>
      <c r="L610" s="200"/>
      <c r="M610" s="221"/>
      <c r="N610" s="200"/>
    </row>
    <row r="611" s="162" customFormat="1" spans="1:14">
      <c r="A611" s="186" t="s">
        <v>136</v>
      </c>
      <c r="B611" s="187">
        <v>21405</v>
      </c>
      <c r="C611" s="188" t="s">
        <v>624</v>
      </c>
      <c r="D611" s="189"/>
      <c r="E611" s="190">
        <f>SUM(E612:E612)</f>
        <v>0</v>
      </c>
      <c r="F611" s="189"/>
      <c r="G611" s="191"/>
      <c r="H611" s="189"/>
      <c r="I611" s="189"/>
      <c r="J611" s="218"/>
      <c r="K611" s="189"/>
      <c r="L611" s="189"/>
      <c r="M611" s="191"/>
      <c r="N611" s="219"/>
    </row>
    <row r="612" spans="1:14">
      <c r="A612" s="198" t="s">
        <v>138</v>
      </c>
      <c r="B612" s="199">
        <v>2140599</v>
      </c>
      <c r="C612" s="199" t="s">
        <v>625</v>
      </c>
      <c r="D612" s="200"/>
      <c r="E612" s="195"/>
      <c r="F612" s="201"/>
      <c r="G612" s="197"/>
      <c r="H612" s="201"/>
      <c r="I612" s="200"/>
      <c r="J612" s="222"/>
      <c r="K612" s="200"/>
      <c r="L612" s="200"/>
      <c r="M612" s="221"/>
      <c r="N612" s="200"/>
    </row>
    <row r="613" s="162" customFormat="1" spans="1:14">
      <c r="A613" s="186" t="s">
        <v>136</v>
      </c>
      <c r="B613" s="187">
        <v>21499</v>
      </c>
      <c r="C613" s="188" t="s">
        <v>626</v>
      </c>
      <c r="D613" s="189">
        <f>SUM(D614:D615)</f>
        <v>1</v>
      </c>
      <c r="E613" s="190">
        <f t="shared" ref="E613:H613" si="104">SUM(E614:E615)</f>
        <v>24</v>
      </c>
      <c r="F613" s="189">
        <f t="shared" si="104"/>
        <v>1</v>
      </c>
      <c r="G613" s="191">
        <f t="shared" si="101"/>
        <v>100</v>
      </c>
      <c r="H613" s="189">
        <f t="shared" si="104"/>
        <v>10</v>
      </c>
      <c r="I613" s="189">
        <f>F613-H613</f>
        <v>-9</v>
      </c>
      <c r="J613" s="218">
        <f>I613/H613*100</f>
        <v>-90</v>
      </c>
      <c r="K613" s="189"/>
      <c r="L613" s="189">
        <f>K613-D613</f>
        <v>-1</v>
      </c>
      <c r="M613" s="191">
        <f>L613/D613*100</f>
        <v>-100</v>
      </c>
      <c r="N613" s="219"/>
    </row>
    <row r="614" spans="1:14">
      <c r="A614" s="198" t="s">
        <v>138</v>
      </c>
      <c r="B614" s="199">
        <v>2149901</v>
      </c>
      <c r="C614" s="199" t="s">
        <v>627</v>
      </c>
      <c r="D614" s="200"/>
      <c r="E614" s="195"/>
      <c r="F614" s="201"/>
      <c r="G614" s="197"/>
      <c r="H614" s="201">
        <v>9</v>
      </c>
      <c r="I614" s="200">
        <f>F614-H614</f>
        <v>-9</v>
      </c>
      <c r="J614" s="222">
        <f>I614/H614*100</f>
        <v>-100</v>
      </c>
      <c r="K614" s="200"/>
      <c r="L614" s="200"/>
      <c r="M614" s="221"/>
      <c r="N614" s="200"/>
    </row>
    <row r="615" s="163" customFormat="1" spans="1:14">
      <c r="A615" s="192" t="s">
        <v>138</v>
      </c>
      <c r="B615" s="193">
        <v>2149999</v>
      </c>
      <c r="C615" s="193" t="s">
        <v>628</v>
      </c>
      <c r="D615" s="202">
        <v>1</v>
      </c>
      <c r="E615" s="195">
        <v>24</v>
      </c>
      <c r="F615" s="196">
        <v>1</v>
      </c>
      <c r="G615" s="197">
        <f t="shared" si="101"/>
        <v>100</v>
      </c>
      <c r="H615" s="196">
        <v>1</v>
      </c>
      <c r="I615" s="202"/>
      <c r="J615" s="220"/>
      <c r="K615" s="202"/>
      <c r="L615" s="202">
        <f>K615-D615</f>
        <v>-1</v>
      </c>
      <c r="M615" s="221">
        <f>L615/D615*100</f>
        <v>-100</v>
      </c>
      <c r="N615" s="202"/>
    </row>
    <row r="616" s="161" customFormat="1" spans="1:14">
      <c r="A616" s="181" t="s">
        <v>134</v>
      </c>
      <c r="B616" s="182">
        <v>215</v>
      </c>
      <c r="C616" s="182" t="s">
        <v>629</v>
      </c>
      <c r="D616" s="183">
        <f>D617+D619+D621+D623+D627+D629+D632</f>
        <v>76</v>
      </c>
      <c r="E616" s="184">
        <f t="shared" ref="E616:K616" si="105">E617+E619+E621+E623+E627+E629+E632</f>
        <v>113</v>
      </c>
      <c r="F616" s="183">
        <f t="shared" si="105"/>
        <v>208</v>
      </c>
      <c r="G616" s="185">
        <f t="shared" si="101"/>
        <v>273.684210526316</v>
      </c>
      <c r="H616" s="183">
        <f>H617+H619+H621+H623+H627+H629+H632</f>
        <v>113</v>
      </c>
      <c r="I616" s="183">
        <f>F616-H616</f>
        <v>95</v>
      </c>
      <c r="J616" s="215">
        <f>I616/H616*100</f>
        <v>84.070796460177</v>
      </c>
      <c r="K616" s="183">
        <f t="shared" si="105"/>
        <v>95</v>
      </c>
      <c r="L616" s="216">
        <f>K616-D616</f>
        <v>19</v>
      </c>
      <c r="M616" s="217">
        <f>L616/D616*100</f>
        <v>25</v>
      </c>
      <c r="N616" s="216"/>
    </row>
    <row r="617" s="162" customFormat="1" spans="1:14">
      <c r="A617" s="186" t="s">
        <v>136</v>
      </c>
      <c r="B617" s="187">
        <v>21501</v>
      </c>
      <c r="C617" s="188" t="s">
        <v>630</v>
      </c>
      <c r="D617" s="189"/>
      <c r="E617" s="190">
        <f>SUM(E618:E618)</f>
        <v>0</v>
      </c>
      <c r="F617" s="189"/>
      <c r="G617" s="191"/>
      <c r="H617" s="189"/>
      <c r="I617" s="189"/>
      <c r="J617" s="218"/>
      <c r="K617" s="189"/>
      <c r="L617" s="189"/>
      <c r="M617" s="191"/>
      <c r="N617" s="219"/>
    </row>
    <row r="618" spans="1:14">
      <c r="A618" s="198" t="s">
        <v>138</v>
      </c>
      <c r="B618" s="199">
        <v>2150199</v>
      </c>
      <c r="C618" s="199" t="s">
        <v>631</v>
      </c>
      <c r="D618" s="200"/>
      <c r="E618" s="195"/>
      <c r="F618" s="201"/>
      <c r="G618" s="197"/>
      <c r="H618" s="201"/>
      <c r="I618" s="200"/>
      <c r="J618" s="222"/>
      <c r="K618" s="200"/>
      <c r="L618" s="200"/>
      <c r="M618" s="221"/>
      <c r="N618" s="200"/>
    </row>
    <row r="619" s="162" customFormat="1" spans="1:14">
      <c r="A619" s="186" t="s">
        <v>136</v>
      </c>
      <c r="B619" s="187">
        <v>21502</v>
      </c>
      <c r="C619" s="188" t="s">
        <v>632</v>
      </c>
      <c r="D619" s="189"/>
      <c r="E619" s="190">
        <f>SUM(E620:E620)</f>
        <v>0</v>
      </c>
      <c r="F619" s="189"/>
      <c r="G619" s="191"/>
      <c r="H619" s="189"/>
      <c r="I619" s="189"/>
      <c r="J619" s="218"/>
      <c r="K619" s="189"/>
      <c r="L619" s="189"/>
      <c r="M619" s="191"/>
      <c r="N619" s="219"/>
    </row>
    <row r="620" spans="1:14">
      <c r="A620" s="198" t="s">
        <v>138</v>
      </c>
      <c r="B620" s="199">
        <v>2150299</v>
      </c>
      <c r="C620" s="199" t="s">
        <v>633</v>
      </c>
      <c r="D620" s="200"/>
      <c r="E620" s="195"/>
      <c r="F620" s="201"/>
      <c r="G620" s="197"/>
      <c r="H620" s="201"/>
      <c r="I620" s="200"/>
      <c r="J620" s="222"/>
      <c r="K620" s="200"/>
      <c r="L620" s="200"/>
      <c r="M620" s="221"/>
      <c r="N620" s="200"/>
    </row>
    <row r="621" s="162" customFormat="1" spans="1:14">
      <c r="A621" s="186" t="s">
        <v>136</v>
      </c>
      <c r="B621" s="187">
        <v>21503</v>
      </c>
      <c r="C621" s="188" t="s">
        <v>634</v>
      </c>
      <c r="D621" s="189"/>
      <c r="E621" s="190">
        <f>SUM(E622:E622)</f>
        <v>0</v>
      </c>
      <c r="F621" s="189"/>
      <c r="G621" s="191"/>
      <c r="H621" s="189"/>
      <c r="I621" s="189"/>
      <c r="J621" s="218"/>
      <c r="K621" s="189"/>
      <c r="L621" s="189"/>
      <c r="M621" s="191"/>
      <c r="N621" s="219"/>
    </row>
    <row r="622" spans="1:14">
      <c r="A622" s="198" t="s">
        <v>138</v>
      </c>
      <c r="B622" s="199">
        <v>2150399</v>
      </c>
      <c r="C622" s="199" t="s">
        <v>635</v>
      </c>
      <c r="D622" s="200"/>
      <c r="E622" s="195"/>
      <c r="F622" s="201"/>
      <c r="G622" s="197"/>
      <c r="H622" s="201"/>
      <c r="I622" s="200"/>
      <c r="J622" s="222"/>
      <c r="K622" s="200"/>
      <c r="L622" s="200"/>
      <c r="M622" s="221"/>
      <c r="N622" s="200"/>
    </row>
    <row r="623" s="162" customFormat="1" spans="1:14">
      <c r="A623" s="186" t="s">
        <v>136</v>
      </c>
      <c r="B623" s="187">
        <v>21505</v>
      </c>
      <c r="C623" s="188" t="s">
        <v>636</v>
      </c>
      <c r="D623" s="189">
        <f>SUM(D624:D626)</f>
        <v>76</v>
      </c>
      <c r="E623" s="190">
        <f>SUM(E624:E626)</f>
        <v>91</v>
      </c>
      <c r="F623" s="189">
        <f>SUM(F624:F626)</f>
        <v>85</v>
      </c>
      <c r="G623" s="191">
        <f t="shared" si="101"/>
        <v>111.842105263158</v>
      </c>
      <c r="H623" s="189">
        <f>SUM(H624:H626)</f>
        <v>86</v>
      </c>
      <c r="I623" s="189">
        <f>F623-H623</f>
        <v>-1</v>
      </c>
      <c r="J623" s="218">
        <f>I623/H623*100</f>
        <v>-1.16279069767442</v>
      </c>
      <c r="K623" s="189">
        <f>SUM(K624:K626)</f>
        <v>95</v>
      </c>
      <c r="L623" s="189">
        <f>K623-D623</f>
        <v>19</v>
      </c>
      <c r="M623" s="191">
        <f>L623/D623*100</f>
        <v>25</v>
      </c>
      <c r="N623" s="219"/>
    </row>
    <row r="624" s="163" customFormat="1" spans="1:14">
      <c r="A624" s="192" t="s">
        <v>138</v>
      </c>
      <c r="B624" s="193">
        <v>2150501</v>
      </c>
      <c r="C624" s="193" t="s">
        <v>139</v>
      </c>
      <c r="D624" s="202">
        <v>41</v>
      </c>
      <c r="E624" s="195">
        <v>34</v>
      </c>
      <c r="F624" s="196">
        <v>47</v>
      </c>
      <c r="G624" s="197">
        <f t="shared" si="101"/>
        <v>114.634146341463</v>
      </c>
      <c r="H624" s="196">
        <v>34</v>
      </c>
      <c r="I624" s="202">
        <f>F624-H624</f>
        <v>13</v>
      </c>
      <c r="J624" s="220">
        <f>I624/H624*100</f>
        <v>38.2352941176471</v>
      </c>
      <c r="K624" s="202">
        <v>51</v>
      </c>
      <c r="L624" s="202">
        <f>K624-D624</f>
        <v>10</v>
      </c>
      <c r="M624" s="221">
        <f>L624/D624*100</f>
        <v>24.390243902439</v>
      </c>
      <c r="N624" s="202"/>
    </row>
    <row r="625" s="163" customFormat="1" spans="1:14">
      <c r="A625" s="192" t="s">
        <v>138</v>
      </c>
      <c r="B625" s="193">
        <v>2150550</v>
      </c>
      <c r="C625" s="193" t="s">
        <v>148</v>
      </c>
      <c r="D625" s="202">
        <v>35</v>
      </c>
      <c r="E625" s="195">
        <v>42</v>
      </c>
      <c r="F625" s="196">
        <v>38</v>
      </c>
      <c r="G625" s="197">
        <f t="shared" si="101"/>
        <v>108.571428571429</v>
      </c>
      <c r="H625" s="196">
        <v>52</v>
      </c>
      <c r="I625" s="202">
        <f>F625-H625</f>
        <v>-14</v>
      </c>
      <c r="J625" s="220">
        <f>I625/H625*100</f>
        <v>-26.9230769230769</v>
      </c>
      <c r="K625" s="202">
        <v>38</v>
      </c>
      <c r="L625" s="202">
        <f>K625-D625</f>
        <v>3</v>
      </c>
      <c r="M625" s="221">
        <f>L625/D625*100</f>
        <v>8.57142857142857</v>
      </c>
      <c r="N625" s="202"/>
    </row>
    <row r="626" spans="1:14">
      <c r="A626" s="198" t="s">
        <v>138</v>
      </c>
      <c r="B626" s="199">
        <v>2150599</v>
      </c>
      <c r="C626" s="199" t="s">
        <v>637</v>
      </c>
      <c r="D626" s="200"/>
      <c r="E626" s="195">
        <v>15</v>
      </c>
      <c r="F626" s="201"/>
      <c r="G626" s="197"/>
      <c r="H626" s="201"/>
      <c r="I626" s="200"/>
      <c r="J626" s="222"/>
      <c r="K626" s="200">
        <v>6</v>
      </c>
      <c r="L626" s="200">
        <f>K626-D626</f>
        <v>6</v>
      </c>
      <c r="M626" s="221"/>
      <c r="N626" s="200"/>
    </row>
    <row r="627" s="162" customFormat="1" spans="1:14">
      <c r="A627" s="186" t="s">
        <v>136</v>
      </c>
      <c r="B627" s="187">
        <v>21507</v>
      </c>
      <c r="C627" s="188" t="s">
        <v>638</v>
      </c>
      <c r="D627" s="189"/>
      <c r="E627" s="190">
        <f>SUM(E628:E628)</f>
        <v>0</v>
      </c>
      <c r="F627" s="189"/>
      <c r="G627" s="191"/>
      <c r="H627" s="189"/>
      <c r="I627" s="189"/>
      <c r="J627" s="218"/>
      <c r="K627" s="189"/>
      <c r="L627" s="189"/>
      <c r="M627" s="191"/>
      <c r="N627" s="219"/>
    </row>
    <row r="628" spans="1:14">
      <c r="A628" s="198" t="s">
        <v>138</v>
      </c>
      <c r="B628" s="199">
        <v>2150799</v>
      </c>
      <c r="C628" s="199" t="s">
        <v>639</v>
      </c>
      <c r="D628" s="200"/>
      <c r="E628" s="195"/>
      <c r="F628" s="201"/>
      <c r="G628" s="197"/>
      <c r="H628" s="201"/>
      <c r="I628" s="200"/>
      <c r="J628" s="222"/>
      <c r="K628" s="200"/>
      <c r="L628" s="200"/>
      <c r="M628" s="221"/>
      <c r="N628" s="200"/>
    </row>
    <row r="629" s="162" customFormat="1" spans="1:14">
      <c r="A629" s="186" t="s">
        <v>136</v>
      </c>
      <c r="B629" s="187">
        <v>21508</v>
      </c>
      <c r="C629" s="188" t="s">
        <v>640</v>
      </c>
      <c r="D629" s="189"/>
      <c r="E629" s="190">
        <f>SUM(E630:E631)</f>
        <v>0</v>
      </c>
      <c r="F629" s="189">
        <f>SUM(F630:F631)</f>
        <v>123</v>
      </c>
      <c r="G629" s="191"/>
      <c r="H629" s="189">
        <f>SUM(H630:H631)</f>
        <v>7</v>
      </c>
      <c r="I629" s="189">
        <f>F629-H629</f>
        <v>116</v>
      </c>
      <c r="J629" s="218">
        <f>I629/H629*100</f>
        <v>1657.14285714286</v>
      </c>
      <c r="K629" s="189"/>
      <c r="L629" s="189"/>
      <c r="M629" s="191"/>
      <c r="N629" s="219"/>
    </row>
    <row r="630" spans="1:14">
      <c r="A630" s="198" t="s">
        <v>138</v>
      </c>
      <c r="B630" s="199">
        <v>2150806</v>
      </c>
      <c r="C630" s="199" t="s">
        <v>641</v>
      </c>
      <c r="D630" s="200"/>
      <c r="E630" s="195"/>
      <c r="F630" s="201"/>
      <c r="G630" s="197"/>
      <c r="H630" s="201">
        <v>7</v>
      </c>
      <c r="I630" s="200">
        <f>F630-H630</f>
        <v>-7</v>
      </c>
      <c r="J630" s="222">
        <f>I630/H630*100</f>
        <v>-100</v>
      </c>
      <c r="K630" s="200"/>
      <c r="L630" s="200"/>
      <c r="M630" s="221"/>
      <c r="N630" s="200"/>
    </row>
    <row r="631" spans="1:14">
      <c r="A631" s="198" t="s">
        <v>138</v>
      </c>
      <c r="B631" s="199">
        <v>2150899</v>
      </c>
      <c r="C631" s="199" t="s">
        <v>642</v>
      </c>
      <c r="D631" s="200"/>
      <c r="E631" s="195"/>
      <c r="F631" s="201">
        <v>123</v>
      </c>
      <c r="G631" s="197"/>
      <c r="H631" s="201"/>
      <c r="I631" s="200">
        <f>F631-H631</f>
        <v>123</v>
      </c>
      <c r="J631" s="222"/>
      <c r="K631" s="200"/>
      <c r="L631" s="200"/>
      <c r="M631" s="221"/>
      <c r="N631" s="200"/>
    </row>
    <row r="632" s="162" customFormat="1" spans="1:14">
      <c r="A632" s="186" t="s">
        <v>136</v>
      </c>
      <c r="B632" s="187">
        <v>21599</v>
      </c>
      <c r="C632" s="188" t="s">
        <v>643</v>
      </c>
      <c r="D632" s="189"/>
      <c r="E632" s="190">
        <f>SUM(E633:E633)</f>
        <v>22</v>
      </c>
      <c r="F632" s="189"/>
      <c r="G632" s="191"/>
      <c r="H632" s="189">
        <f>SUM(H633:H633)</f>
        <v>20</v>
      </c>
      <c r="I632" s="189">
        <f>F632-H632</f>
        <v>-20</v>
      </c>
      <c r="J632" s="218">
        <f>I632/H632*100</f>
        <v>-100</v>
      </c>
      <c r="K632" s="189"/>
      <c r="L632" s="189"/>
      <c r="M632" s="191"/>
      <c r="N632" s="219"/>
    </row>
    <row r="633" spans="1:14">
      <c r="A633" s="198" t="s">
        <v>138</v>
      </c>
      <c r="B633" s="199">
        <v>2159999</v>
      </c>
      <c r="C633" s="199" t="s">
        <v>644</v>
      </c>
      <c r="D633" s="200"/>
      <c r="E633" s="195">
        <v>22</v>
      </c>
      <c r="F633" s="201"/>
      <c r="G633" s="197"/>
      <c r="H633" s="201">
        <v>20</v>
      </c>
      <c r="I633" s="200">
        <f>F633-H633</f>
        <v>-20</v>
      </c>
      <c r="J633" s="222">
        <f>I633/H633*100</f>
        <v>-100</v>
      </c>
      <c r="K633" s="200"/>
      <c r="L633" s="200"/>
      <c r="M633" s="221"/>
      <c r="N633" s="200"/>
    </row>
    <row r="634" s="161" customFormat="1" spans="1:14">
      <c r="A634" s="181" t="s">
        <v>134</v>
      </c>
      <c r="B634" s="182">
        <v>216</v>
      </c>
      <c r="C634" s="182" t="s">
        <v>645</v>
      </c>
      <c r="D634" s="183">
        <f>D635+D637+D639</f>
        <v>10</v>
      </c>
      <c r="E634" s="184">
        <f>E635+E637+E639</f>
        <v>10</v>
      </c>
      <c r="F634" s="183"/>
      <c r="G634" s="185"/>
      <c r="H634" s="183"/>
      <c r="I634" s="183"/>
      <c r="J634" s="215"/>
      <c r="K634" s="183"/>
      <c r="L634" s="216">
        <f>K634-D634</f>
        <v>-10</v>
      </c>
      <c r="M634" s="217">
        <f>L634/D634*100</f>
        <v>-100</v>
      </c>
      <c r="N634" s="216"/>
    </row>
    <row r="635" s="162" customFormat="1" spans="1:14">
      <c r="A635" s="186" t="s">
        <v>136</v>
      </c>
      <c r="B635" s="187">
        <v>21602</v>
      </c>
      <c r="C635" s="188" t="s">
        <v>646</v>
      </c>
      <c r="D635" s="189"/>
      <c r="E635" s="190">
        <f>SUM(E636:E636)</f>
        <v>0</v>
      </c>
      <c r="F635" s="189"/>
      <c r="G635" s="191"/>
      <c r="H635" s="189"/>
      <c r="I635" s="189"/>
      <c r="J635" s="218"/>
      <c r="K635" s="189"/>
      <c r="L635" s="189"/>
      <c r="M635" s="191"/>
      <c r="N635" s="219"/>
    </row>
    <row r="636" spans="1:14">
      <c r="A636" s="198" t="s">
        <v>138</v>
      </c>
      <c r="B636" s="199">
        <v>2160299</v>
      </c>
      <c r="C636" s="199" t="s">
        <v>647</v>
      </c>
      <c r="D636" s="200"/>
      <c r="E636" s="195"/>
      <c r="F636" s="201"/>
      <c r="G636" s="197"/>
      <c r="H636" s="201"/>
      <c r="I636" s="200"/>
      <c r="J636" s="222"/>
      <c r="K636" s="200"/>
      <c r="L636" s="200"/>
      <c r="M636" s="221"/>
      <c r="N636" s="200"/>
    </row>
    <row r="637" s="162" customFormat="1" spans="1:14">
      <c r="A637" s="186" t="s">
        <v>136</v>
      </c>
      <c r="B637" s="187">
        <v>21606</v>
      </c>
      <c r="C637" s="188" t="s">
        <v>648</v>
      </c>
      <c r="D637" s="189"/>
      <c r="E637" s="190">
        <f>SUM(E638:E638)</f>
        <v>0</v>
      </c>
      <c r="F637" s="189"/>
      <c r="G637" s="191"/>
      <c r="H637" s="189"/>
      <c r="I637" s="189"/>
      <c r="J637" s="218"/>
      <c r="K637" s="189"/>
      <c r="L637" s="189"/>
      <c r="M637" s="191"/>
      <c r="N637" s="219"/>
    </row>
    <row r="638" spans="1:14">
      <c r="A638" s="198" t="s">
        <v>138</v>
      </c>
      <c r="B638" s="199">
        <v>2160699</v>
      </c>
      <c r="C638" s="199" t="s">
        <v>649</v>
      </c>
      <c r="D638" s="200"/>
      <c r="E638" s="195"/>
      <c r="F638" s="201"/>
      <c r="G638" s="197"/>
      <c r="H638" s="201"/>
      <c r="I638" s="200"/>
      <c r="J638" s="222"/>
      <c r="K638" s="200"/>
      <c r="L638" s="200"/>
      <c r="M638" s="221"/>
      <c r="N638" s="200"/>
    </row>
    <row r="639" s="162" customFormat="1" spans="1:14">
      <c r="A639" s="186" t="s">
        <v>136</v>
      </c>
      <c r="B639" s="187">
        <v>21699</v>
      </c>
      <c r="C639" s="188" t="s">
        <v>650</v>
      </c>
      <c r="D639" s="189">
        <f>SUM(D640:D641)</f>
        <v>10</v>
      </c>
      <c r="E639" s="190">
        <f>SUM(E640:E641)</f>
        <v>10</v>
      </c>
      <c r="F639" s="189"/>
      <c r="G639" s="191"/>
      <c r="H639" s="189"/>
      <c r="I639" s="189"/>
      <c r="J639" s="218"/>
      <c r="K639" s="189"/>
      <c r="L639" s="189">
        <f>K639-D639</f>
        <v>-10</v>
      </c>
      <c r="M639" s="191">
        <f>L639/D639*100</f>
        <v>-100</v>
      </c>
      <c r="N639" s="219"/>
    </row>
    <row r="640" spans="1:14">
      <c r="A640" s="198" t="s">
        <v>138</v>
      </c>
      <c r="B640" s="199">
        <v>2169901</v>
      </c>
      <c r="C640" s="199" t="s">
        <v>651</v>
      </c>
      <c r="D640" s="200"/>
      <c r="E640" s="195"/>
      <c r="F640" s="201"/>
      <c r="G640" s="197"/>
      <c r="H640" s="201"/>
      <c r="I640" s="200"/>
      <c r="J640" s="222"/>
      <c r="K640" s="200"/>
      <c r="L640" s="200"/>
      <c r="M640" s="221"/>
      <c r="N640" s="200"/>
    </row>
    <row r="641" spans="1:14">
      <c r="A641" s="198" t="s">
        <v>138</v>
      </c>
      <c r="B641" s="199">
        <v>2169999</v>
      </c>
      <c r="C641" s="199" t="s">
        <v>652</v>
      </c>
      <c r="D641" s="200">
        <v>10</v>
      </c>
      <c r="E641" s="195">
        <v>10</v>
      </c>
      <c r="F641" s="201"/>
      <c r="G641" s="197"/>
      <c r="H641" s="201"/>
      <c r="I641" s="200"/>
      <c r="J641" s="222"/>
      <c r="K641" s="200"/>
      <c r="L641" s="200">
        <f>K641-D641</f>
        <v>-10</v>
      </c>
      <c r="M641" s="221">
        <f>L641/D641*100</f>
        <v>-100</v>
      </c>
      <c r="N641" s="200"/>
    </row>
    <row r="642" s="161" customFormat="1" spans="1:14">
      <c r="A642" s="181" t="s">
        <v>134</v>
      </c>
      <c r="B642" s="182">
        <v>217</v>
      </c>
      <c r="C642" s="182" t="s">
        <v>653</v>
      </c>
      <c r="D642" s="183">
        <f>D643+D645+D647+D650+D652</f>
        <v>350</v>
      </c>
      <c r="E642" s="184">
        <f t="shared" ref="E642:K642" si="106">E643+E645+E647+E650+E652</f>
        <v>500</v>
      </c>
      <c r="F642" s="183">
        <f t="shared" si="106"/>
        <v>162</v>
      </c>
      <c r="G642" s="185">
        <f t="shared" si="101"/>
        <v>46.2857142857143</v>
      </c>
      <c r="H642" s="183">
        <f>H643+H645+H647+H650+H652</f>
        <v>985</v>
      </c>
      <c r="I642" s="183">
        <f>F642-H642</f>
        <v>-823</v>
      </c>
      <c r="J642" s="215">
        <f>I642/H642*100</f>
        <v>-83.5532994923858</v>
      </c>
      <c r="K642" s="183">
        <f t="shared" si="106"/>
        <v>100</v>
      </c>
      <c r="L642" s="216">
        <f>K642-D642</f>
        <v>-250</v>
      </c>
      <c r="M642" s="217">
        <f>L642/D642*100</f>
        <v>-71.4285714285714</v>
      </c>
      <c r="N642" s="216"/>
    </row>
    <row r="643" s="162" customFormat="1" spans="1:14">
      <c r="A643" s="186" t="s">
        <v>136</v>
      </c>
      <c r="B643" s="187">
        <v>21701</v>
      </c>
      <c r="C643" s="188" t="s">
        <v>654</v>
      </c>
      <c r="D643" s="189"/>
      <c r="E643" s="190">
        <f>SUM(E644:E644)</f>
        <v>0</v>
      </c>
      <c r="F643" s="189"/>
      <c r="G643" s="191"/>
      <c r="H643" s="189"/>
      <c r="I643" s="189"/>
      <c r="J643" s="218"/>
      <c r="K643" s="189"/>
      <c r="L643" s="189"/>
      <c r="M643" s="191"/>
      <c r="N643" s="219"/>
    </row>
    <row r="644" spans="1:14">
      <c r="A644" s="198" t="s">
        <v>138</v>
      </c>
      <c r="B644" s="199">
        <v>2170199</v>
      </c>
      <c r="C644" s="199" t="s">
        <v>655</v>
      </c>
      <c r="D644" s="200"/>
      <c r="E644" s="195"/>
      <c r="F644" s="201"/>
      <c r="G644" s="197"/>
      <c r="H644" s="201"/>
      <c r="I644" s="200"/>
      <c r="J644" s="222"/>
      <c r="K644" s="200"/>
      <c r="L644" s="200"/>
      <c r="M644" s="221"/>
      <c r="N644" s="200"/>
    </row>
    <row r="645" s="162" customFormat="1" spans="1:14">
      <c r="A645" s="186" t="s">
        <v>136</v>
      </c>
      <c r="B645" s="187">
        <v>21702</v>
      </c>
      <c r="C645" s="188" t="s">
        <v>656</v>
      </c>
      <c r="D645" s="189"/>
      <c r="E645" s="190">
        <f>SUM(E646:E646)</f>
        <v>0</v>
      </c>
      <c r="F645" s="189"/>
      <c r="G645" s="191"/>
      <c r="H645" s="189"/>
      <c r="I645" s="189"/>
      <c r="J645" s="218"/>
      <c r="K645" s="189"/>
      <c r="L645" s="189"/>
      <c r="M645" s="191"/>
      <c r="N645" s="219"/>
    </row>
    <row r="646" spans="1:14">
      <c r="A646" s="198" t="s">
        <v>138</v>
      </c>
      <c r="B646" s="199">
        <v>2170299</v>
      </c>
      <c r="C646" s="199" t="s">
        <v>657</v>
      </c>
      <c r="D646" s="200"/>
      <c r="E646" s="195"/>
      <c r="F646" s="201"/>
      <c r="G646" s="197"/>
      <c r="H646" s="201"/>
      <c r="I646" s="200"/>
      <c r="J646" s="222"/>
      <c r="K646" s="200"/>
      <c r="L646" s="200"/>
      <c r="M646" s="221"/>
      <c r="N646" s="200"/>
    </row>
    <row r="647" s="162" customFormat="1" spans="1:14">
      <c r="A647" s="186" t="s">
        <v>136</v>
      </c>
      <c r="B647" s="187">
        <v>21703</v>
      </c>
      <c r="C647" s="188" t="s">
        <v>658</v>
      </c>
      <c r="D647" s="189">
        <f>SUM(D648:D649)</f>
        <v>350</v>
      </c>
      <c r="E647" s="190">
        <f>SUM(E648:E649)</f>
        <v>500</v>
      </c>
      <c r="F647" s="189">
        <f>SUM(F648:F649)</f>
        <v>162</v>
      </c>
      <c r="G647" s="191">
        <f t="shared" si="101"/>
        <v>46.2857142857143</v>
      </c>
      <c r="H647" s="189">
        <f>SUM(H648:H649)</f>
        <v>903</v>
      </c>
      <c r="I647" s="189">
        <f>F647-H647</f>
        <v>-741</v>
      </c>
      <c r="J647" s="218">
        <f>I647/H647*100</f>
        <v>-82.0598006644518</v>
      </c>
      <c r="K647" s="189">
        <f>SUM(K648:K649)</f>
        <v>100</v>
      </c>
      <c r="L647" s="189">
        <f>K647-D647</f>
        <v>-250</v>
      </c>
      <c r="M647" s="191">
        <f>L647/D647*100</f>
        <v>-71.4285714285714</v>
      </c>
      <c r="N647" s="219"/>
    </row>
    <row r="648" spans="1:14">
      <c r="A648" s="198" t="s">
        <v>138</v>
      </c>
      <c r="B648" s="199">
        <v>2170301</v>
      </c>
      <c r="C648" s="199" t="s">
        <v>659</v>
      </c>
      <c r="D648" s="200"/>
      <c r="E648" s="195"/>
      <c r="F648" s="201"/>
      <c r="G648" s="197"/>
      <c r="H648" s="201"/>
      <c r="I648" s="200"/>
      <c r="J648" s="222"/>
      <c r="K648" s="200"/>
      <c r="L648" s="200"/>
      <c r="M648" s="221"/>
      <c r="N648" s="200"/>
    </row>
    <row r="649" s="163" customFormat="1" spans="1:14">
      <c r="A649" s="192" t="s">
        <v>138</v>
      </c>
      <c r="B649" s="193">
        <v>2170302</v>
      </c>
      <c r="C649" s="193" t="s">
        <v>660</v>
      </c>
      <c r="D649" s="202">
        <v>350</v>
      </c>
      <c r="E649" s="195">
        <v>500</v>
      </c>
      <c r="F649" s="196">
        <v>162</v>
      </c>
      <c r="G649" s="197">
        <f t="shared" ref="G648:G711" si="107">F649/D649*100</f>
        <v>46.2857142857143</v>
      </c>
      <c r="H649" s="196">
        <v>903</v>
      </c>
      <c r="I649" s="202">
        <f>F649-H649</f>
        <v>-741</v>
      </c>
      <c r="J649" s="220">
        <f>I649/H649*100</f>
        <v>-82.0598006644518</v>
      </c>
      <c r="K649" s="202">
        <v>100</v>
      </c>
      <c r="L649" s="202">
        <f>K649-D649</f>
        <v>-250</v>
      </c>
      <c r="M649" s="221">
        <f>L649/D649*100</f>
        <v>-71.4285714285714</v>
      </c>
      <c r="N649" s="202"/>
    </row>
    <row r="650" s="162" customFormat="1" spans="1:14">
      <c r="A650" s="186" t="s">
        <v>136</v>
      </c>
      <c r="B650" s="187">
        <v>21704</v>
      </c>
      <c r="C650" s="188" t="s">
        <v>661</v>
      </c>
      <c r="D650" s="189"/>
      <c r="E650" s="190">
        <f>SUM(E651:E651)</f>
        <v>0</v>
      </c>
      <c r="F650" s="189"/>
      <c r="G650" s="191"/>
      <c r="H650" s="189"/>
      <c r="I650" s="189"/>
      <c r="J650" s="218"/>
      <c r="K650" s="189"/>
      <c r="L650" s="189"/>
      <c r="M650" s="191"/>
      <c r="N650" s="219"/>
    </row>
    <row r="651" spans="1:14">
      <c r="A651" s="198" t="s">
        <v>138</v>
      </c>
      <c r="B651" s="199">
        <v>2170499</v>
      </c>
      <c r="C651" s="199" t="s">
        <v>662</v>
      </c>
      <c r="D651" s="200"/>
      <c r="E651" s="195"/>
      <c r="F651" s="201"/>
      <c r="G651" s="197"/>
      <c r="H651" s="201"/>
      <c r="I651" s="200"/>
      <c r="J651" s="222"/>
      <c r="K651" s="200"/>
      <c r="L651" s="200"/>
      <c r="M651" s="221"/>
      <c r="N651" s="200"/>
    </row>
    <row r="652" s="162" customFormat="1" spans="1:14">
      <c r="A652" s="186" t="s">
        <v>136</v>
      </c>
      <c r="B652" s="187">
        <v>21799</v>
      </c>
      <c r="C652" s="188" t="s">
        <v>663</v>
      </c>
      <c r="D652" s="189"/>
      <c r="E652" s="190">
        <f t="shared" ref="E652:H652" si="108">E653+E654</f>
        <v>0</v>
      </c>
      <c r="F652" s="189"/>
      <c r="G652" s="191"/>
      <c r="H652" s="189">
        <f t="shared" si="108"/>
        <v>82</v>
      </c>
      <c r="I652" s="189">
        <f>F652-H652</f>
        <v>-82</v>
      </c>
      <c r="J652" s="218">
        <f>I652/H652*100</f>
        <v>-100</v>
      </c>
      <c r="K652" s="189"/>
      <c r="L652" s="189"/>
      <c r="M652" s="191"/>
      <c r="N652" s="219"/>
    </row>
    <row r="653" spans="1:14">
      <c r="A653" s="198" t="s">
        <v>138</v>
      </c>
      <c r="B653" s="199">
        <v>2179902</v>
      </c>
      <c r="C653" s="199" t="s">
        <v>664</v>
      </c>
      <c r="D653" s="200"/>
      <c r="E653" s="195"/>
      <c r="F653" s="201"/>
      <c r="G653" s="197"/>
      <c r="H653" s="201">
        <v>82</v>
      </c>
      <c r="I653" s="200">
        <f>F653-H653</f>
        <v>-82</v>
      </c>
      <c r="J653" s="222">
        <f>I653/H653*100</f>
        <v>-100</v>
      </c>
      <c r="K653" s="200"/>
      <c r="L653" s="200"/>
      <c r="M653" s="221"/>
      <c r="N653" s="200"/>
    </row>
    <row r="654" spans="1:14">
      <c r="A654" s="198" t="s">
        <v>138</v>
      </c>
      <c r="B654" s="199">
        <v>2179999</v>
      </c>
      <c r="C654" s="199" t="s">
        <v>665</v>
      </c>
      <c r="D654" s="200"/>
      <c r="E654" s="195"/>
      <c r="F654" s="201"/>
      <c r="G654" s="197"/>
      <c r="H654" s="201"/>
      <c r="I654" s="200"/>
      <c r="J654" s="222"/>
      <c r="K654" s="200"/>
      <c r="L654" s="200"/>
      <c r="M654" s="221"/>
      <c r="N654" s="200"/>
    </row>
    <row r="655" s="161" customFormat="1" spans="1:14">
      <c r="A655" s="181" t="s">
        <v>134</v>
      </c>
      <c r="B655" s="182">
        <v>219</v>
      </c>
      <c r="C655" s="182" t="s">
        <v>666</v>
      </c>
      <c r="D655" s="183"/>
      <c r="E655" s="184">
        <f>SUM(E656:E664)</f>
        <v>0</v>
      </c>
      <c r="F655" s="183"/>
      <c r="G655" s="185"/>
      <c r="H655" s="183"/>
      <c r="I655" s="183"/>
      <c r="J655" s="215"/>
      <c r="K655" s="183"/>
      <c r="L655" s="216"/>
      <c r="M655" s="217"/>
      <c r="N655" s="216"/>
    </row>
    <row r="656" spans="1:14">
      <c r="A656" s="198" t="s">
        <v>138</v>
      </c>
      <c r="B656" s="199">
        <v>21901</v>
      </c>
      <c r="C656" s="199" t="s">
        <v>89</v>
      </c>
      <c r="D656" s="200"/>
      <c r="E656" s="195"/>
      <c r="F656" s="201"/>
      <c r="G656" s="197"/>
      <c r="H656" s="201"/>
      <c r="I656" s="200"/>
      <c r="J656" s="222"/>
      <c r="K656" s="200"/>
      <c r="L656" s="200"/>
      <c r="M656" s="221"/>
      <c r="N656" s="200"/>
    </row>
    <row r="657" spans="1:14">
      <c r="A657" s="198" t="s">
        <v>138</v>
      </c>
      <c r="B657" s="199">
        <v>21902</v>
      </c>
      <c r="C657" s="199" t="s">
        <v>93</v>
      </c>
      <c r="D657" s="200"/>
      <c r="E657" s="195"/>
      <c r="F657" s="201"/>
      <c r="G657" s="197"/>
      <c r="H657" s="201"/>
      <c r="I657" s="200"/>
      <c r="J657" s="222"/>
      <c r="K657" s="200"/>
      <c r="L657" s="200"/>
      <c r="M657" s="221"/>
      <c r="N657" s="200"/>
    </row>
    <row r="658" spans="1:14">
      <c r="A658" s="198" t="s">
        <v>138</v>
      </c>
      <c r="B658" s="199">
        <v>21903</v>
      </c>
      <c r="C658" s="199" t="s">
        <v>95</v>
      </c>
      <c r="D658" s="200"/>
      <c r="E658" s="195"/>
      <c r="F658" s="201"/>
      <c r="G658" s="197"/>
      <c r="H658" s="201"/>
      <c r="I658" s="200"/>
      <c r="J658" s="222"/>
      <c r="K658" s="200"/>
      <c r="L658" s="200"/>
      <c r="M658" s="221"/>
      <c r="N658" s="200"/>
    </row>
    <row r="659" spans="1:14">
      <c r="A659" s="198" t="s">
        <v>138</v>
      </c>
      <c r="B659" s="199">
        <v>21904</v>
      </c>
      <c r="C659" s="199" t="s">
        <v>97</v>
      </c>
      <c r="D659" s="200"/>
      <c r="E659" s="195"/>
      <c r="F659" s="201"/>
      <c r="G659" s="197"/>
      <c r="H659" s="201"/>
      <c r="I659" s="200"/>
      <c r="J659" s="222"/>
      <c r="K659" s="200"/>
      <c r="L659" s="200"/>
      <c r="M659" s="221"/>
      <c r="N659" s="200"/>
    </row>
    <row r="660" spans="1:14">
      <c r="A660" s="198" t="s">
        <v>138</v>
      </c>
      <c r="B660" s="199">
        <v>21905</v>
      </c>
      <c r="C660" s="199" t="s">
        <v>98</v>
      </c>
      <c r="D660" s="200"/>
      <c r="E660" s="195"/>
      <c r="F660" s="201"/>
      <c r="G660" s="197"/>
      <c r="H660" s="201"/>
      <c r="I660" s="200"/>
      <c r="J660" s="222"/>
      <c r="K660" s="200"/>
      <c r="L660" s="200"/>
      <c r="M660" s="221"/>
      <c r="N660" s="200"/>
    </row>
    <row r="661" spans="1:14">
      <c r="A661" s="198" t="s">
        <v>138</v>
      </c>
      <c r="B661" s="199">
        <v>21906</v>
      </c>
      <c r="C661" s="199" t="s">
        <v>545</v>
      </c>
      <c r="D661" s="200"/>
      <c r="E661" s="195"/>
      <c r="F661" s="201"/>
      <c r="G661" s="197"/>
      <c r="H661" s="201"/>
      <c r="I661" s="200"/>
      <c r="J661" s="222"/>
      <c r="K661" s="200"/>
      <c r="L661" s="200"/>
      <c r="M661" s="221"/>
      <c r="N661" s="200"/>
    </row>
    <row r="662" spans="1:14">
      <c r="A662" s="198" t="s">
        <v>138</v>
      </c>
      <c r="B662" s="199">
        <v>21907</v>
      </c>
      <c r="C662" s="199" t="s">
        <v>101</v>
      </c>
      <c r="D662" s="200"/>
      <c r="E662" s="195"/>
      <c r="F662" s="201"/>
      <c r="G662" s="197"/>
      <c r="H662" s="201"/>
      <c r="I662" s="200"/>
      <c r="J662" s="222"/>
      <c r="K662" s="200"/>
      <c r="L662" s="200"/>
      <c r="M662" s="221"/>
      <c r="N662" s="200"/>
    </row>
    <row r="663" spans="1:14">
      <c r="A663" s="198" t="s">
        <v>138</v>
      </c>
      <c r="B663" s="199">
        <v>21908</v>
      </c>
      <c r="C663" s="199" t="s">
        <v>106</v>
      </c>
      <c r="D663" s="200"/>
      <c r="E663" s="195"/>
      <c r="F663" s="201"/>
      <c r="G663" s="197"/>
      <c r="H663" s="201"/>
      <c r="I663" s="200"/>
      <c r="J663" s="222"/>
      <c r="K663" s="200"/>
      <c r="L663" s="200"/>
      <c r="M663" s="221"/>
      <c r="N663" s="200"/>
    </row>
    <row r="664" spans="1:14">
      <c r="A664" s="198" t="s">
        <v>138</v>
      </c>
      <c r="B664" s="199">
        <v>21999</v>
      </c>
      <c r="C664" s="199" t="s">
        <v>667</v>
      </c>
      <c r="D664" s="200"/>
      <c r="E664" s="195"/>
      <c r="F664" s="201"/>
      <c r="G664" s="197"/>
      <c r="H664" s="201"/>
      <c r="I664" s="200"/>
      <c r="J664" s="222"/>
      <c r="K664" s="200"/>
      <c r="L664" s="200"/>
      <c r="M664" s="221"/>
      <c r="N664" s="200"/>
    </row>
    <row r="665" s="161" customFormat="1" spans="1:14">
      <c r="A665" s="181" t="s">
        <v>134</v>
      </c>
      <c r="B665" s="182">
        <v>220</v>
      </c>
      <c r="C665" s="182" t="s">
        <v>668</v>
      </c>
      <c r="D665" s="183"/>
      <c r="E665" s="184">
        <f>E666+E673+E675</f>
        <v>0</v>
      </c>
      <c r="F665" s="183">
        <f>F666+F673+F675</f>
        <v>381</v>
      </c>
      <c r="G665" s="185"/>
      <c r="H665" s="183">
        <f>H666+H673+H675</f>
        <v>633</v>
      </c>
      <c r="I665" s="183">
        <f>F665-H665</f>
        <v>-252</v>
      </c>
      <c r="J665" s="215">
        <f>I665/H665*100</f>
        <v>-39.8104265402844</v>
      </c>
      <c r="K665" s="183"/>
      <c r="L665" s="216"/>
      <c r="M665" s="217"/>
      <c r="N665" s="216"/>
    </row>
    <row r="666" s="162" customFormat="1" spans="1:14">
      <c r="A666" s="186" t="s">
        <v>136</v>
      </c>
      <c r="B666" s="187">
        <v>22001</v>
      </c>
      <c r="C666" s="188" t="s">
        <v>669</v>
      </c>
      <c r="D666" s="189"/>
      <c r="E666" s="190">
        <f>SUM(E667:E672)</f>
        <v>0</v>
      </c>
      <c r="F666" s="189">
        <f>SUM(F667:F672)</f>
        <v>381</v>
      </c>
      <c r="G666" s="191"/>
      <c r="H666" s="189">
        <f>SUM(H667:H672)</f>
        <v>633</v>
      </c>
      <c r="I666" s="189">
        <f>F666-H666</f>
        <v>-252</v>
      </c>
      <c r="J666" s="218">
        <f>I666/H666*100</f>
        <v>-39.8104265402844</v>
      </c>
      <c r="K666" s="189"/>
      <c r="L666" s="189"/>
      <c r="M666" s="191"/>
      <c r="N666" s="219"/>
    </row>
    <row r="667" spans="1:14">
      <c r="A667" s="198" t="s">
        <v>138</v>
      </c>
      <c r="B667" s="199">
        <v>2200101</v>
      </c>
      <c r="C667" s="199" t="s">
        <v>139</v>
      </c>
      <c r="D667" s="200"/>
      <c r="E667" s="195"/>
      <c r="F667" s="201"/>
      <c r="G667" s="197"/>
      <c r="H667" s="201">
        <v>7</v>
      </c>
      <c r="I667" s="200">
        <f>F667-H667</f>
        <v>-7</v>
      </c>
      <c r="J667" s="222">
        <f>I667/H667*100</f>
        <v>-100</v>
      </c>
      <c r="K667" s="200"/>
      <c r="L667" s="200"/>
      <c r="M667" s="221"/>
      <c r="N667" s="200"/>
    </row>
    <row r="668" spans="1:14">
      <c r="A668" s="198" t="s">
        <v>138</v>
      </c>
      <c r="B668" s="199">
        <v>2200102</v>
      </c>
      <c r="C668" s="199" t="s">
        <v>140</v>
      </c>
      <c r="D668" s="200"/>
      <c r="E668" s="195"/>
      <c r="F668" s="201"/>
      <c r="G668" s="197"/>
      <c r="H668" s="201"/>
      <c r="I668" s="200"/>
      <c r="J668" s="222"/>
      <c r="K668" s="200"/>
      <c r="L668" s="200"/>
      <c r="M668" s="221"/>
      <c r="N668" s="200"/>
    </row>
    <row r="669" spans="1:14">
      <c r="A669" s="198" t="s">
        <v>138</v>
      </c>
      <c r="B669" s="199">
        <v>2200103</v>
      </c>
      <c r="C669" s="199" t="s">
        <v>141</v>
      </c>
      <c r="D669" s="200"/>
      <c r="E669" s="195"/>
      <c r="F669" s="201">
        <v>5</v>
      </c>
      <c r="G669" s="197"/>
      <c r="H669" s="201"/>
      <c r="I669" s="200">
        <f>F669-H669</f>
        <v>5</v>
      </c>
      <c r="J669" s="222"/>
      <c r="K669" s="200"/>
      <c r="L669" s="200"/>
      <c r="M669" s="221"/>
      <c r="N669" s="200"/>
    </row>
    <row r="670" spans="1:14">
      <c r="A670" s="198" t="s">
        <v>138</v>
      </c>
      <c r="B670" s="199">
        <v>2200104</v>
      </c>
      <c r="C670" s="199" t="s">
        <v>670</v>
      </c>
      <c r="D670" s="200"/>
      <c r="E670" s="195"/>
      <c r="F670" s="201"/>
      <c r="G670" s="197"/>
      <c r="H670" s="201">
        <v>5</v>
      </c>
      <c r="I670" s="200">
        <f>F670-H670</f>
        <v>-5</v>
      </c>
      <c r="J670" s="222">
        <f>I670/H670*100</f>
        <v>-100</v>
      </c>
      <c r="K670" s="200"/>
      <c r="L670" s="200"/>
      <c r="M670" s="221"/>
      <c r="N670" s="200"/>
    </row>
    <row r="671" spans="1:14">
      <c r="A671" s="198" t="s">
        <v>138</v>
      </c>
      <c r="B671" s="199">
        <v>2200106</v>
      </c>
      <c r="C671" s="199" t="s">
        <v>671</v>
      </c>
      <c r="D671" s="200"/>
      <c r="E671" s="195"/>
      <c r="F671" s="201">
        <v>376</v>
      </c>
      <c r="G671" s="197"/>
      <c r="H671" s="201">
        <v>621</v>
      </c>
      <c r="I671" s="200">
        <f>F671-H671</f>
        <v>-245</v>
      </c>
      <c r="J671" s="222">
        <f>I671/H671*100</f>
        <v>-39.4524959742351</v>
      </c>
      <c r="K671" s="200"/>
      <c r="L671" s="200"/>
      <c r="M671" s="221"/>
      <c r="N671" s="200"/>
    </row>
    <row r="672" spans="1:14">
      <c r="A672" s="198" t="s">
        <v>138</v>
      </c>
      <c r="B672" s="199">
        <v>2200199</v>
      </c>
      <c r="C672" s="199" t="s">
        <v>672</v>
      </c>
      <c r="D672" s="200"/>
      <c r="E672" s="195"/>
      <c r="F672" s="201"/>
      <c r="G672" s="197"/>
      <c r="H672" s="201"/>
      <c r="I672" s="200"/>
      <c r="J672" s="222"/>
      <c r="K672" s="200"/>
      <c r="L672" s="200"/>
      <c r="M672" s="221"/>
      <c r="N672" s="200"/>
    </row>
    <row r="673" s="162" customFormat="1" spans="1:14">
      <c r="A673" s="186" t="s">
        <v>136</v>
      </c>
      <c r="B673" s="187">
        <v>22005</v>
      </c>
      <c r="C673" s="188" t="s">
        <v>673</v>
      </c>
      <c r="D673" s="189"/>
      <c r="E673" s="190">
        <f>SUM(E674:E674)</f>
        <v>0</v>
      </c>
      <c r="F673" s="189"/>
      <c r="G673" s="191"/>
      <c r="H673" s="189"/>
      <c r="I673" s="189"/>
      <c r="J673" s="218"/>
      <c r="K673" s="189"/>
      <c r="L673" s="189"/>
      <c r="M673" s="191"/>
      <c r="N673" s="219"/>
    </row>
    <row r="674" spans="1:14">
      <c r="A674" s="198" t="s">
        <v>138</v>
      </c>
      <c r="B674" s="199">
        <v>2200599</v>
      </c>
      <c r="C674" s="199" t="s">
        <v>674</v>
      </c>
      <c r="D674" s="200"/>
      <c r="E674" s="195"/>
      <c r="F674" s="201"/>
      <c r="G674" s="197"/>
      <c r="H674" s="201"/>
      <c r="I674" s="200"/>
      <c r="J674" s="222"/>
      <c r="K674" s="200"/>
      <c r="L674" s="200"/>
      <c r="M674" s="221"/>
      <c r="N674" s="200"/>
    </row>
    <row r="675" s="162" customFormat="1" spans="1:14">
      <c r="A675" s="186" t="s">
        <v>136</v>
      </c>
      <c r="B675" s="187">
        <v>22099</v>
      </c>
      <c r="C675" s="188" t="s">
        <v>675</v>
      </c>
      <c r="D675" s="189"/>
      <c r="E675" s="190">
        <f>E676</f>
        <v>0</v>
      </c>
      <c r="F675" s="189"/>
      <c r="G675" s="191"/>
      <c r="H675" s="189"/>
      <c r="I675" s="189"/>
      <c r="J675" s="218"/>
      <c r="K675" s="189"/>
      <c r="L675" s="189"/>
      <c r="M675" s="191"/>
      <c r="N675" s="219"/>
    </row>
    <row r="676" spans="1:14">
      <c r="A676" s="198" t="s">
        <v>138</v>
      </c>
      <c r="B676" s="199">
        <v>2209999</v>
      </c>
      <c r="C676" s="199" t="s">
        <v>676</v>
      </c>
      <c r="D676" s="200"/>
      <c r="E676" s="195"/>
      <c r="F676" s="201"/>
      <c r="G676" s="197"/>
      <c r="H676" s="201"/>
      <c r="I676" s="200"/>
      <c r="J676" s="222"/>
      <c r="K676" s="200"/>
      <c r="L676" s="200"/>
      <c r="M676" s="221"/>
      <c r="N676" s="200"/>
    </row>
    <row r="677" s="161" customFormat="1" spans="1:14">
      <c r="A677" s="181" t="s">
        <v>134</v>
      </c>
      <c r="B677" s="182">
        <v>221</v>
      </c>
      <c r="C677" s="182" t="s">
        <v>677</v>
      </c>
      <c r="D677" s="183">
        <f>SUM(D678,D683,D685)</f>
        <v>1963</v>
      </c>
      <c r="E677" s="184">
        <f t="shared" ref="E677:K677" si="109">SUM(E678,E683,E685)</f>
        <v>1940</v>
      </c>
      <c r="F677" s="183">
        <f t="shared" si="109"/>
        <v>1995</v>
      </c>
      <c r="G677" s="185">
        <f t="shared" si="107"/>
        <v>101.630157921549</v>
      </c>
      <c r="H677" s="183">
        <f>SUM(H678,H683,H685)</f>
        <v>3312</v>
      </c>
      <c r="I677" s="183">
        <f>F677-H677</f>
        <v>-1317</v>
      </c>
      <c r="J677" s="215">
        <f>I677/H677*100</f>
        <v>-39.7644927536232</v>
      </c>
      <c r="K677" s="183">
        <f t="shared" si="109"/>
        <v>2086</v>
      </c>
      <c r="L677" s="216">
        <f>K677-D677</f>
        <v>123</v>
      </c>
      <c r="M677" s="217">
        <f>L677/D677*100</f>
        <v>6.26591951095262</v>
      </c>
      <c r="N677" s="216"/>
    </row>
    <row r="678" s="162" customFormat="1" spans="1:14">
      <c r="A678" s="186" t="s">
        <v>136</v>
      </c>
      <c r="B678" s="187">
        <v>22101</v>
      </c>
      <c r="C678" s="188" t="s">
        <v>678</v>
      </c>
      <c r="D678" s="189"/>
      <c r="E678" s="190">
        <f>SUM(E679:E682)</f>
        <v>14</v>
      </c>
      <c r="F678" s="189">
        <f>SUM(F679:F682)</f>
        <v>28</v>
      </c>
      <c r="G678" s="191"/>
      <c r="H678" s="189">
        <f>SUM(H679:H682)</f>
        <v>954</v>
      </c>
      <c r="I678" s="189">
        <f>F678-H678</f>
        <v>-926</v>
      </c>
      <c r="J678" s="218">
        <f>I678/H678*100</f>
        <v>-97.0649895178197</v>
      </c>
      <c r="K678" s="189">
        <f>SUM(K679:K682)</f>
        <v>32</v>
      </c>
      <c r="L678" s="189">
        <f>K678-D678</f>
        <v>32</v>
      </c>
      <c r="M678" s="191"/>
      <c r="N678" s="219"/>
    </row>
    <row r="679" spans="1:14">
      <c r="A679" s="198" t="s">
        <v>138</v>
      </c>
      <c r="B679" s="199">
        <v>2210105</v>
      </c>
      <c r="C679" s="199" t="s">
        <v>679</v>
      </c>
      <c r="D679" s="200"/>
      <c r="E679" s="195">
        <v>14</v>
      </c>
      <c r="F679" s="201">
        <v>28</v>
      </c>
      <c r="G679" s="197"/>
      <c r="H679" s="201">
        <v>60</v>
      </c>
      <c r="I679" s="200">
        <f>F679-H679</f>
        <v>-32</v>
      </c>
      <c r="J679" s="222">
        <f>I679/H679*100</f>
        <v>-53.3333333333333</v>
      </c>
      <c r="K679" s="200">
        <v>32</v>
      </c>
      <c r="L679" s="200">
        <f>K679-D679</f>
        <v>32</v>
      </c>
      <c r="M679" s="221"/>
      <c r="N679" s="200"/>
    </row>
    <row r="680" spans="1:14">
      <c r="A680" s="198" t="s">
        <v>138</v>
      </c>
      <c r="B680" s="199">
        <v>2210106</v>
      </c>
      <c r="C680" s="199" t="s">
        <v>680</v>
      </c>
      <c r="D680" s="200"/>
      <c r="E680" s="195"/>
      <c r="F680" s="201"/>
      <c r="G680" s="197"/>
      <c r="H680" s="201"/>
      <c r="I680" s="200"/>
      <c r="J680" s="222"/>
      <c r="K680" s="200"/>
      <c r="L680" s="200"/>
      <c r="M680" s="221"/>
      <c r="N680" s="200"/>
    </row>
    <row r="681" spans="1:14">
      <c r="A681" s="198" t="s">
        <v>138</v>
      </c>
      <c r="B681" s="199">
        <v>2210110</v>
      </c>
      <c r="C681" s="199" t="s">
        <v>681</v>
      </c>
      <c r="D681" s="200"/>
      <c r="E681" s="195"/>
      <c r="F681" s="201"/>
      <c r="G681" s="197"/>
      <c r="H681" s="201">
        <v>494</v>
      </c>
      <c r="I681" s="200">
        <f>F681-H681</f>
        <v>-494</v>
      </c>
      <c r="J681" s="222">
        <f>I681/H681*100</f>
        <v>-100</v>
      </c>
      <c r="K681" s="200"/>
      <c r="L681" s="200"/>
      <c r="M681" s="221"/>
      <c r="N681" s="200"/>
    </row>
    <row r="682" spans="1:14">
      <c r="A682" s="198" t="s">
        <v>138</v>
      </c>
      <c r="B682" s="199">
        <v>2210199</v>
      </c>
      <c r="C682" s="199" t="s">
        <v>682</v>
      </c>
      <c r="D682" s="200"/>
      <c r="E682" s="195"/>
      <c r="F682" s="201"/>
      <c r="G682" s="197"/>
      <c r="H682" s="201">
        <v>400</v>
      </c>
      <c r="I682" s="200">
        <f>F682-H682</f>
        <v>-400</v>
      </c>
      <c r="J682" s="222">
        <f>I682/H682*100</f>
        <v>-100</v>
      </c>
      <c r="K682" s="200"/>
      <c r="L682" s="200">
        <f>K682-D682</f>
        <v>0</v>
      </c>
      <c r="M682" s="221"/>
      <c r="N682" s="200"/>
    </row>
    <row r="683" s="162" customFormat="1" spans="1:14">
      <c r="A683" s="186" t="s">
        <v>136</v>
      </c>
      <c r="B683" s="187">
        <v>22102</v>
      </c>
      <c r="C683" s="188" t="s">
        <v>683</v>
      </c>
      <c r="D683" s="189">
        <f>SUM(D684:D684)</f>
        <v>1963</v>
      </c>
      <c r="E683" s="190">
        <f>SUM(E684:E684)</f>
        <v>1926</v>
      </c>
      <c r="F683" s="189">
        <f>SUM(F684:F684)</f>
        <v>1967</v>
      </c>
      <c r="G683" s="191">
        <f t="shared" si="107"/>
        <v>100.203769740194</v>
      </c>
      <c r="H683" s="189">
        <f>SUM(H684:H684)</f>
        <v>2358</v>
      </c>
      <c r="I683" s="189">
        <f>F683-H683</f>
        <v>-391</v>
      </c>
      <c r="J683" s="218">
        <f>I683/H683*100</f>
        <v>-16.5818490245971</v>
      </c>
      <c r="K683" s="189">
        <f>SUM(K684:K684)</f>
        <v>2054</v>
      </c>
      <c r="L683" s="189">
        <f>K683-D683</f>
        <v>91</v>
      </c>
      <c r="M683" s="191">
        <f>L683/D683*100</f>
        <v>4.63576158940397</v>
      </c>
      <c r="N683" s="219"/>
    </row>
    <row r="684" s="163" customFormat="1" spans="1:14">
      <c r="A684" s="192" t="s">
        <v>138</v>
      </c>
      <c r="B684" s="193">
        <v>2210201</v>
      </c>
      <c r="C684" s="193" t="s">
        <v>684</v>
      </c>
      <c r="D684" s="202">
        <v>1963</v>
      </c>
      <c r="E684" s="195">
        <v>1926</v>
      </c>
      <c r="F684" s="196">
        <v>1967</v>
      </c>
      <c r="G684" s="197">
        <f t="shared" si="107"/>
        <v>100.203769740194</v>
      </c>
      <c r="H684" s="196">
        <v>2358</v>
      </c>
      <c r="I684" s="202">
        <f>F684-H684</f>
        <v>-391</v>
      </c>
      <c r="J684" s="220">
        <f>I684/H684*100</f>
        <v>-16.5818490245971</v>
      </c>
      <c r="K684" s="202">
        <v>2054</v>
      </c>
      <c r="L684" s="202">
        <f>K684-D684</f>
        <v>91</v>
      </c>
      <c r="M684" s="221">
        <f>L684/D684*100</f>
        <v>4.63576158940397</v>
      </c>
      <c r="N684" s="202"/>
    </row>
    <row r="685" s="162" customFormat="1" spans="1:14">
      <c r="A685" s="186" t="s">
        <v>136</v>
      </c>
      <c r="B685" s="187">
        <v>22103</v>
      </c>
      <c r="C685" s="188" t="s">
        <v>685</v>
      </c>
      <c r="D685" s="189"/>
      <c r="E685" s="190">
        <f>SUM(E686:E688)</f>
        <v>0</v>
      </c>
      <c r="F685" s="189"/>
      <c r="G685" s="191"/>
      <c r="H685" s="189"/>
      <c r="I685" s="189"/>
      <c r="J685" s="218"/>
      <c r="K685" s="189"/>
      <c r="L685" s="189"/>
      <c r="M685" s="191"/>
      <c r="N685" s="219"/>
    </row>
    <row r="686" spans="1:14">
      <c r="A686" s="198" t="s">
        <v>138</v>
      </c>
      <c r="B686" s="199">
        <v>2210301</v>
      </c>
      <c r="C686" s="199" t="s">
        <v>686</v>
      </c>
      <c r="D686" s="200"/>
      <c r="E686" s="195"/>
      <c r="F686" s="201"/>
      <c r="G686" s="197"/>
      <c r="H686" s="201"/>
      <c r="I686" s="200"/>
      <c r="J686" s="222"/>
      <c r="K686" s="200"/>
      <c r="L686" s="200"/>
      <c r="M686" s="221"/>
      <c r="N686" s="200"/>
    </row>
    <row r="687" spans="1:14">
      <c r="A687" s="198" t="s">
        <v>138</v>
      </c>
      <c r="B687" s="199">
        <v>2210302</v>
      </c>
      <c r="C687" s="199" t="s">
        <v>687</v>
      </c>
      <c r="D687" s="200"/>
      <c r="E687" s="195"/>
      <c r="F687" s="201"/>
      <c r="G687" s="197"/>
      <c r="H687" s="201"/>
      <c r="I687" s="200"/>
      <c r="J687" s="222"/>
      <c r="K687" s="200"/>
      <c r="L687" s="200"/>
      <c r="M687" s="221"/>
      <c r="N687" s="200"/>
    </row>
    <row r="688" spans="1:14">
      <c r="A688" s="198" t="s">
        <v>138</v>
      </c>
      <c r="B688" s="199">
        <v>2210399</v>
      </c>
      <c r="C688" s="199" t="s">
        <v>688</v>
      </c>
      <c r="D688" s="200"/>
      <c r="E688" s="195"/>
      <c r="F688" s="201"/>
      <c r="G688" s="197"/>
      <c r="H688" s="201"/>
      <c r="I688" s="200"/>
      <c r="J688" s="222"/>
      <c r="K688" s="200"/>
      <c r="L688" s="200"/>
      <c r="M688" s="221"/>
      <c r="N688" s="200"/>
    </row>
    <row r="689" s="161" customFormat="1" spans="1:14">
      <c r="A689" s="181" t="s">
        <v>134</v>
      </c>
      <c r="B689" s="182">
        <v>222</v>
      </c>
      <c r="C689" s="182" t="s">
        <v>689</v>
      </c>
      <c r="D689" s="183"/>
      <c r="E689" s="184">
        <f>E690+E692+E694+E696</f>
        <v>0</v>
      </c>
      <c r="F689" s="183"/>
      <c r="G689" s="185"/>
      <c r="H689" s="183"/>
      <c r="I689" s="183"/>
      <c r="J689" s="215"/>
      <c r="K689" s="183"/>
      <c r="L689" s="216"/>
      <c r="M689" s="217"/>
      <c r="N689" s="216"/>
    </row>
    <row r="690" s="162" customFormat="1" spans="1:14">
      <c r="A690" s="186" t="s">
        <v>136</v>
      </c>
      <c r="B690" s="187">
        <v>22201</v>
      </c>
      <c r="C690" s="188" t="s">
        <v>690</v>
      </c>
      <c r="D690" s="189"/>
      <c r="E690" s="190">
        <f>SUM(E691:E691)</f>
        <v>0</v>
      </c>
      <c r="F690" s="189"/>
      <c r="G690" s="191"/>
      <c r="H690" s="189"/>
      <c r="I690" s="189"/>
      <c r="J690" s="218"/>
      <c r="K690" s="189"/>
      <c r="L690" s="189"/>
      <c r="M690" s="191"/>
      <c r="N690" s="219"/>
    </row>
    <row r="691" spans="1:14">
      <c r="A691" s="198" t="s">
        <v>138</v>
      </c>
      <c r="B691" s="199">
        <v>2220199</v>
      </c>
      <c r="C691" s="199" t="s">
        <v>691</v>
      </c>
      <c r="D691" s="200"/>
      <c r="E691" s="195"/>
      <c r="F691" s="201"/>
      <c r="G691" s="197"/>
      <c r="H691" s="201"/>
      <c r="I691" s="200"/>
      <c r="J691" s="222"/>
      <c r="K691" s="200"/>
      <c r="L691" s="200"/>
      <c r="M691" s="221"/>
      <c r="N691" s="200"/>
    </row>
    <row r="692" s="162" customFormat="1" spans="1:14">
      <c r="A692" s="186" t="s">
        <v>136</v>
      </c>
      <c r="B692" s="187">
        <v>22203</v>
      </c>
      <c r="C692" s="188" t="s">
        <v>692</v>
      </c>
      <c r="D692" s="189"/>
      <c r="E692" s="190">
        <f>SUM(E693:E693)</f>
        <v>0</v>
      </c>
      <c r="F692" s="189"/>
      <c r="G692" s="191"/>
      <c r="H692" s="189"/>
      <c r="I692" s="189"/>
      <c r="J692" s="218"/>
      <c r="K692" s="189"/>
      <c r="L692" s="189"/>
      <c r="M692" s="191"/>
      <c r="N692" s="219"/>
    </row>
    <row r="693" spans="1:14">
      <c r="A693" s="198" t="s">
        <v>138</v>
      </c>
      <c r="B693" s="199">
        <v>2220399</v>
      </c>
      <c r="C693" s="199" t="s">
        <v>693</v>
      </c>
      <c r="D693" s="200"/>
      <c r="E693" s="195"/>
      <c r="F693" s="201"/>
      <c r="G693" s="197"/>
      <c r="H693" s="201"/>
      <c r="I693" s="200"/>
      <c r="J693" s="222"/>
      <c r="K693" s="200"/>
      <c r="L693" s="200"/>
      <c r="M693" s="221"/>
      <c r="N693" s="200"/>
    </row>
    <row r="694" s="162" customFormat="1" spans="1:14">
      <c r="A694" s="186" t="s">
        <v>136</v>
      </c>
      <c r="B694" s="187">
        <v>22204</v>
      </c>
      <c r="C694" s="188" t="s">
        <v>694</v>
      </c>
      <c r="D694" s="189"/>
      <c r="E694" s="190">
        <f>SUM(E695:E695)</f>
        <v>0</v>
      </c>
      <c r="F694" s="189"/>
      <c r="G694" s="191"/>
      <c r="H694" s="189"/>
      <c r="I694" s="189"/>
      <c r="J694" s="218"/>
      <c r="K694" s="189"/>
      <c r="L694" s="189"/>
      <c r="M694" s="191"/>
      <c r="N694" s="219"/>
    </row>
    <row r="695" spans="1:14">
      <c r="A695" s="198" t="s">
        <v>138</v>
      </c>
      <c r="B695" s="199">
        <v>2220499</v>
      </c>
      <c r="C695" s="199" t="s">
        <v>695</v>
      </c>
      <c r="D695" s="200"/>
      <c r="E695" s="195"/>
      <c r="F695" s="201"/>
      <c r="G695" s="197"/>
      <c r="H695" s="201"/>
      <c r="I695" s="200"/>
      <c r="J695" s="222"/>
      <c r="K695" s="200"/>
      <c r="L695" s="200"/>
      <c r="M695" s="221"/>
      <c r="N695" s="200"/>
    </row>
    <row r="696" s="162" customFormat="1" spans="1:14">
      <c r="A696" s="186" t="s">
        <v>136</v>
      </c>
      <c r="B696" s="187">
        <v>22205</v>
      </c>
      <c r="C696" s="188" t="s">
        <v>696</v>
      </c>
      <c r="D696" s="189"/>
      <c r="E696" s="190">
        <f>SUM(E697:E697)</f>
        <v>0</v>
      </c>
      <c r="F696" s="189"/>
      <c r="G696" s="191"/>
      <c r="H696" s="189"/>
      <c r="I696" s="189"/>
      <c r="J696" s="218"/>
      <c r="K696" s="189"/>
      <c r="L696" s="189"/>
      <c r="M696" s="191"/>
      <c r="N696" s="219"/>
    </row>
    <row r="697" spans="1:14">
      <c r="A697" s="198" t="s">
        <v>138</v>
      </c>
      <c r="B697" s="199">
        <v>2220599</v>
      </c>
      <c r="C697" s="199" t="s">
        <v>697</v>
      </c>
      <c r="D697" s="200"/>
      <c r="E697" s="195"/>
      <c r="F697" s="201"/>
      <c r="G697" s="197"/>
      <c r="H697" s="201"/>
      <c r="I697" s="200"/>
      <c r="J697" s="222"/>
      <c r="K697" s="200"/>
      <c r="L697" s="200"/>
      <c r="M697" s="221"/>
      <c r="N697" s="200"/>
    </row>
    <row r="698" s="161" customFormat="1" spans="1:14">
      <c r="A698" s="181" t="s">
        <v>134</v>
      </c>
      <c r="B698" s="182">
        <v>224</v>
      </c>
      <c r="C698" s="182" t="s">
        <v>698</v>
      </c>
      <c r="D698" s="183">
        <f>D699+D710+D717+D719+D721+D725+D729</f>
        <v>110</v>
      </c>
      <c r="E698" s="184">
        <f t="shared" ref="E698:K698" si="110">E699+E710+E717+E719+E721+E725+E729</f>
        <v>233</v>
      </c>
      <c r="F698" s="183">
        <f t="shared" si="110"/>
        <v>636</v>
      </c>
      <c r="G698" s="185">
        <f t="shared" si="107"/>
        <v>578.181818181818</v>
      </c>
      <c r="H698" s="183">
        <f>H699+H710+H717+H719+H721+H725+H729</f>
        <v>1758</v>
      </c>
      <c r="I698" s="183">
        <f t="shared" ref="I698:I703" si="111">F698-H698</f>
        <v>-1122</v>
      </c>
      <c r="J698" s="215">
        <f t="shared" ref="J698:J703" si="112">I698/H698*100</f>
        <v>-63.8225255972696</v>
      </c>
      <c r="K698" s="183">
        <f t="shared" si="110"/>
        <v>172</v>
      </c>
      <c r="L698" s="216">
        <f>K698-D698</f>
        <v>62</v>
      </c>
      <c r="M698" s="217">
        <f>L698/D698*100</f>
        <v>56.3636363636364</v>
      </c>
      <c r="N698" s="216"/>
    </row>
    <row r="699" s="162" customFormat="1" spans="1:14">
      <c r="A699" s="186" t="s">
        <v>136</v>
      </c>
      <c r="B699" s="187">
        <v>22401</v>
      </c>
      <c r="C699" s="188" t="s">
        <v>699</v>
      </c>
      <c r="D699" s="189">
        <f>SUM(D700:D709)</f>
        <v>8</v>
      </c>
      <c r="E699" s="190">
        <f t="shared" ref="E699:H699" si="113">SUM(E700:E709)</f>
        <v>165</v>
      </c>
      <c r="F699" s="189">
        <f t="shared" si="113"/>
        <v>142</v>
      </c>
      <c r="G699" s="191">
        <f t="shared" si="107"/>
        <v>1775</v>
      </c>
      <c r="H699" s="189">
        <f t="shared" si="113"/>
        <v>169</v>
      </c>
      <c r="I699" s="189">
        <f t="shared" si="111"/>
        <v>-27</v>
      </c>
      <c r="J699" s="218">
        <f t="shared" si="112"/>
        <v>-15.9763313609467</v>
      </c>
      <c r="K699" s="189">
        <f>SUM(K700:K709)</f>
        <v>127</v>
      </c>
      <c r="L699" s="189">
        <f>K699-D699</f>
        <v>119</v>
      </c>
      <c r="M699" s="191">
        <f>L699/D699*100</f>
        <v>1487.5</v>
      </c>
      <c r="N699" s="219"/>
    </row>
    <row r="700" spans="1:14">
      <c r="A700" s="198" t="s">
        <v>138</v>
      </c>
      <c r="B700" s="199">
        <v>2240101</v>
      </c>
      <c r="C700" s="199" t="s">
        <v>139</v>
      </c>
      <c r="D700" s="200"/>
      <c r="E700" s="195">
        <v>105</v>
      </c>
      <c r="F700" s="201">
        <v>100</v>
      </c>
      <c r="G700" s="197"/>
      <c r="H700" s="201">
        <v>86</v>
      </c>
      <c r="I700" s="200">
        <f t="shared" si="111"/>
        <v>14</v>
      </c>
      <c r="J700" s="222">
        <f t="shared" si="112"/>
        <v>16.2790697674419</v>
      </c>
      <c r="K700" s="200">
        <v>100</v>
      </c>
      <c r="L700" s="200">
        <f>K700-D700</f>
        <v>100</v>
      </c>
      <c r="M700" s="221"/>
      <c r="N700" s="200"/>
    </row>
    <row r="701" spans="1:14">
      <c r="A701" s="198" t="s">
        <v>138</v>
      </c>
      <c r="B701" s="199">
        <v>2240102</v>
      </c>
      <c r="C701" s="199" t="s">
        <v>140</v>
      </c>
      <c r="D701" s="200"/>
      <c r="E701" s="195"/>
      <c r="F701" s="201"/>
      <c r="G701" s="197"/>
      <c r="H701" s="201">
        <v>3</v>
      </c>
      <c r="I701" s="200">
        <f t="shared" si="111"/>
        <v>-3</v>
      </c>
      <c r="J701" s="222">
        <f t="shared" si="112"/>
        <v>-100</v>
      </c>
      <c r="K701" s="200"/>
      <c r="L701" s="200"/>
      <c r="M701" s="221"/>
      <c r="N701" s="200"/>
    </row>
    <row r="702" spans="1:14">
      <c r="A702" s="198" t="s">
        <v>138</v>
      </c>
      <c r="B702" s="199">
        <v>2240103</v>
      </c>
      <c r="C702" s="199" t="s">
        <v>141</v>
      </c>
      <c r="D702" s="200"/>
      <c r="E702" s="195"/>
      <c r="F702" s="201">
        <v>1</v>
      </c>
      <c r="G702" s="197"/>
      <c r="H702" s="201">
        <v>3</v>
      </c>
      <c r="I702" s="200">
        <f t="shared" si="111"/>
        <v>-2</v>
      </c>
      <c r="J702" s="222">
        <f t="shared" si="112"/>
        <v>-66.6666666666667</v>
      </c>
      <c r="K702" s="200"/>
      <c r="L702" s="200"/>
      <c r="M702" s="221"/>
      <c r="N702" s="200"/>
    </row>
    <row r="703" spans="1:14">
      <c r="A703" s="198" t="s">
        <v>138</v>
      </c>
      <c r="B703" s="199">
        <v>2240104</v>
      </c>
      <c r="C703" s="199" t="s">
        <v>700</v>
      </c>
      <c r="D703" s="200"/>
      <c r="E703" s="195"/>
      <c r="F703" s="201"/>
      <c r="G703" s="197"/>
      <c r="H703" s="201">
        <v>2</v>
      </c>
      <c r="I703" s="200">
        <f t="shared" si="111"/>
        <v>-2</v>
      </c>
      <c r="J703" s="222">
        <f t="shared" si="112"/>
        <v>-100</v>
      </c>
      <c r="K703" s="200"/>
      <c r="L703" s="200"/>
      <c r="M703" s="221"/>
      <c r="N703" s="200"/>
    </row>
    <row r="704" spans="1:14">
      <c r="A704" s="198" t="s">
        <v>138</v>
      </c>
      <c r="B704" s="199">
        <v>2240105</v>
      </c>
      <c r="C704" s="199" t="s">
        <v>701</v>
      </c>
      <c r="D704" s="200"/>
      <c r="E704" s="195"/>
      <c r="F704" s="201"/>
      <c r="G704" s="197"/>
      <c r="H704" s="201"/>
      <c r="I704" s="200"/>
      <c r="J704" s="222"/>
      <c r="K704" s="200"/>
      <c r="L704" s="200"/>
      <c r="M704" s="221"/>
      <c r="N704" s="200"/>
    </row>
    <row r="705" spans="1:14">
      <c r="A705" s="198" t="s">
        <v>138</v>
      </c>
      <c r="B705" s="199">
        <v>2240106</v>
      </c>
      <c r="C705" s="199" t="s">
        <v>702</v>
      </c>
      <c r="D705" s="200"/>
      <c r="E705" s="195"/>
      <c r="F705" s="201"/>
      <c r="G705" s="197"/>
      <c r="H705" s="201">
        <v>5</v>
      </c>
      <c r="I705" s="200">
        <f>F705-H705</f>
        <v>-5</v>
      </c>
      <c r="J705" s="222">
        <f>I705/H705*100</f>
        <v>-100</v>
      </c>
      <c r="K705" s="200"/>
      <c r="L705" s="200"/>
      <c r="M705" s="221"/>
      <c r="N705" s="200"/>
    </row>
    <row r="706" spans="1:14">
      <c r="A706" s="198" t="s">
        <v>138</v>
      </c>
      <c r="B706" s="199">
        <v>2240108</v>
      </c>
      <c r="C706" s="199" t="s">
        <v>703</v>
      </c>
      <c r="D706" s="200"/>
      <c r="E706" s="195"/>
      <c r="F706" s="201">
        <v>2</v>
      </c>
      <c r="G706" s="197"/>
      <c r="H706" s="201">
        <v>4</v>
      </c>
      <c r="I706" s="200">
        <f>F706-H706</f>
        <v>-2</v>
      </c>
      <c r="J706" s="222">
        <f>I706/H706*100</f>
        <v>-50</v>
      </c>
      <c r="K706" s="200"/>
      <c r="L706" s="200"/>
      <c r="M706" s="221"/>
      <c r="N706" s="200"/>
    </row>
    <row r="707" spans="1:14">
      <c r="A707" s="198" t="s">
        <v>138</v>
      </c>
      <c r="B707" s="199">
        <v>2240109</v>
      </c>
      <c r="C707" s="199" t="s">
        <v>704</v>
      </c>
      <c r="D707" s="200"/>
      <c r="E707" s="195"/>
      <c r="F707" s="201"/>
      <c r="G707" s="197"/>
      <c r="H707" s="201"/>
      <c r="I707" s="200"/>
      <c r="J707" s="222"/>
      <c r="K707" s="200"/>
      <c r="L707" s="200"/>
      <c r="M707" s="221"/>
      <c r="N707" s="200"/>
    </row>
    <row r="708" s="163" customFormat="1" spans="1:14">
      <c r="A708" s="192" t="s">
        <v>138</v>
      </c>
      <c r="B708" s="193">
        <v>2240150</v>
      </c>
      <c r="C708" s="193" t="s">
        <v>148</v>
      </c>
      <c r="D708" s="202">
        <v>8</v>
      </c>
      <c r="E708" s="195">
        <v>10</v>
      </c>
      <c r="F708" s="196">
        <v>9</v>
      </c>
      <c r="G708" s="197">
        <f t="shared" si="107"/>
        <v>112.5</v>
      </c>
      <c r="H708" s="196">
        <v>12</v>
      </c>
      <c r="I708" s="202">
        <f t="shared" ref="I708:I714" si="114">F708-H708</f>
        <v>-3</v>
      </c>
      <c r="J708" s="220">
        <f>I708/H708*100</f>
        <v>-25</v>
      </c>
      <c r="K708" s="202">
        <v>9</v>
      </c>
      <c r="L708" s="202">
        <f>K708-D708</f>
        <v>1</v>
      </c>
      <c r="M708" s="221">
        <f>L708/D708*100</f>
        <v>12.5</v>
      </c>
      <c r="N708" s="202"/>
    </row>
    <row r="709" spans="1:14">
      <c r="A709" s="198" t="s">
        <v>138</v>
      </c>
      <c r="B709" s="199">
        <v>2240199</v>
      </c>
      <c r="C709" s="199" t="s">
        <v>705</v>
      </c>
      <c r="D709" s="200"/>
      <c r="E709" s="195">
        <v>50</v>
      </c>
      <c r="F709" s="201">
        <v>30</v>
      </c>
      <c r="G709" s="197"/>
      <c r="H709" s="201">
        <v>54</v>
      </c>
      <c r="I709" s="200">
        <f t="shared" si="114"/>
        <v>-24</v>
      </c>
      <c r="J709" s="222">
        <f>I709/H709*100</f>
        <v>-44.4444444444444</v>
      </c>
      <c r="K709" s="200">
        <v>18</v>
      </c>
      <c r="L709" s="200">
        <f>K709-D709</f>
        <v>18</v>
      </c>
      <c r="M709" s="221"/>
      <c r="N709" s="200"/>
    </row>
    <row r="710" s="162" customFormat="1" spans="1:14">
      <c r="A710" s="186" t="s">
        <v>136</v>
      </c>
      <c r="B710" s="187">
        <v>22402</v>
      </c>
      <c r="C710" s="188" t="s">
        <v>706</v>
      </c>
      <c r="D710" s="189"/>
      <c r="E710" s="190">
        <f t="shared" ref="E710:H710" si="115">SUM(E711:E716)</f>
        <v>55</v>
      </c>
      <c r="F710" s="189">
        <f t="shared" si="115"/>
        <v>449</v>
      </c>
      <c r="G710" s="191"/>
      <c r="H710" s="189">
        <f t="shared" si="115"/>
        <v>446</v>
      </c>
      <c r="I710" s="189">
        <f t="shared" si="114"/>
        <v>3</v>
      </c>
      <c r="J710" s="218">
        <f>I710/H710*100</f>
        <v>0.672645739910314</v>
      </c>
      <c r="K710" s="189"/>
      <c r="L710" s="189"/>
      <c r="M710" s="191"/>
      <c r="N710" s="219"/>
    </row>
    <row r="711" spans="1:14">
      <c r="A711" s="198" t="s">
        <v>138</v>
      </c>
      <c r="B711" s="199">
        <v>2240201</v>
      </c>
      <c r="C711" s="199" t="s">
        <v>139</v>
      </c>
      <c r="D711" s="200"/>
      <c r="E711" s="195">
        <v>55</v>
      </c>
      <c r="F711" s="201"/>
      <c r="G711" s="197"/>
      <c r="H711" s="201">
        <v>95</v>
      </c>
      <c r="I711" s="200">
        <f t="shared" si="114"/>
        <v>-95</v>
      </c>
      <c r="J711" s="222">
        <f>I711/H711*100</f>
        <v>-100</v>
      </c>
      <c r="K711" s="200"/>
      <c r="L711" s="200"/>
      <c r="M711" s="221"/>
      <c r="N711" s="200"/>
    </row>
    <row r="712" spans="1:14">
      <c r="A712" s="198" t="s">
        <v>138</v>
      </c>
      <c r="B712" s="199">
        <v>2240202</v>
      </c>
      <c r="C712" s="199" t="s">
        <v>140</v>
      </c>
      <c r="D712" s="200"/>
      <c r="E712" s="195"/>
      <c r="F712" s="201"/>
      <c r="G712" s="197"/>
      <c r="H712" s="201">
        <v>1</v>
      </c>
      <c r="I712" s="200">
        <f t="shared" si="114"/>
        <v>-1</v>
      </c>
      <c r="J712" s="222">
        <f>I712/H712*100</f>
        <v>-100</v>
      </c>
      <c r="K712" s="200"/>
      <c r="L712" s="200"/>
      <c r="M712" s="221"/>
      <c r="N712" s="200"/>
    </row>
    <row r="713" spans="1:14">
      <c r="A713" s="198" t="s">
        <v>138</v>
      </c>
      <c r="B713" s="199">
        <v>2240203</v>
      </c>
      <c r="C713" s="199" t="s">
        <v>141</v>
      </c>
      <c r="D713" s="200"/>
      <c r="E713" s="195"/>
      <c r="F713" s="201">
        <v>20</v>
      </c>
      <c r="G713" s="197"/>
      <c r="H713" s="201"/>
      <c r="I713" s="200">
        <f t="shared" si="114"/>
        <v>20</v>
      </c>
      <c r="J713" s="222"/>
      <c r="K713" s="200"/>
      <c r="L713" s="200"/>
      <c r="M713" s="221"/>
      <c r="N713" s="200"/>
    </row>
    <row r="714" spans="1:14">
      <c r="A714" s="198" t="s">
        <v>138</v>
      </c>
      <c r="B714" s="199">
        <v>2240204</v>
      </c>
      <c r="C714" s="199" t="s">
        <v>707</v>
      </c>
      <c r="D714" s="200"/>
      <c r="E714" s="195"/>
      <c r="F714" s="201"/>
      <c r="G714" s="197"/>
      <c r="H714" s="201">
        <v>35</v>
      </c>
      <c r="I714" s="200">
        <f t="shared" si="114"/>
        <v>-35</v>
      </c>
      <c r="J714" s="222">
        <f>I714/H714*100</f>
        <v>-100</v>
      </c>
      <c r="K714" s="200"/>
      <c r="L714" s="200"/>
      <c r="M714" s="221"/>
      <c r="N714" s="200"/>
    </row>
    <row r="715" spans="1:14">
      <c r="A715" s="198" t="s">
        <v>138</v>
      </c>
      <c r="B715" s="199">
        <v>2240250</v>
      </c>
      <c r="C715" s="199" t="s">
        <v>148</v>
      </c>
      <c r="D715" s="200"/>
      <c r="E715" s="195"/>
      <c r="F715" s="201"/>
      <c r="G715" s="197"/>
      <c r="H715" s="201"/>
      <c r="I715" s="200"/>
      <c r="J715" s="222"/>
      <c r="K715" s="200"/>
      <c r="L715" s="200"/>
      <c r="M715" s="221"/>
      <c r="N715" s="200"/>
    </row>
    <row r="716" spans="1:14">
      <c r="A716" s="198" t="s">
        <v>138</v>
      </c>
      <c r="B716" s="199">
        <v>2240299</v>
      </c>
      <c r="C716" s="199" t="s">
        <v>708</v>
      </c>
      <c r="D716" s="200"/>
      <c r="E716" s="195"/>
      <c r="F716" s="201">
        <v>429</v>
      </c>
      <c r="G716" s="197"/>
      <c r="H716" s="201">
        <v>315</v>
      </c>
      <c r="I716" s="200">
        <f>F716-H716</f>
        <v>114</v>
      </c>
      <c r="J716" s="222">
        <f>I716/H716*100</f>
        <v>36.1904761904762</v>
      </c>
      <c r="K716" s="200"/>
      <c r="L716" s="200"/>
      <c r="M716" s="221"/>
      <c r="N716" s="200"/>
    </row>
    <row r="717" s="162" customFormat="1" spans="1:14">
      <c r="A717" s="186" t="s">
        <v>136</v>
      </c>
      <c r="B717" s="187">
        <v>22404</v>
      </c>
      <c r="C717" s="188" t="s">
        <v>709</v>
      </c>
      <c r="D717" s="189"/>
      <c r="E717" s="190">
        <f>SUM(E718:E718)</f>
        <v>0</v>
      </c>
      <c r="F717" s="189"/>
      <c r="G717" s="191"/>
      <c r="H717" s="189"/>
      <c r="I717" s="189"/>
      <c r="J717" s="218"/>
      <c r="K717" s="189"/>
      <c r="L717" s="189"/>
      <c r="M717" s="191"/>
      <c r="N717" s="219"/>
    </row>
    <row r="718" spans="1:14">
      <c r="A718" s="198" t="s">
        <v>138</v>
      </c>
      <c r="B718" s="199">
        <v>2240499</v>
      </c>
      <c r="C718" s="199" t="s">
        <v>710</v>
      </c>
      <c r="D718" s="200"/>
      <c r="E718" s="195"/>
      <c r="F718" s="201"/>
      <c r="G718" s="197"/>
      <c r="H718" s="201"/>
      <c r="I718" s="200"/>
      <c r="J718" s="222"/>
      <c r="K718" s="200"/>
      <c r="L718" s="200"/>
      <c r="M718" s="221"/>
      <c r="N718" s="200"/>
    </row>
    <row r="719" s="162" customFormat="1" spans="1:14">
      <c r="A719" s="186" t="s">
        <v>136</v>
      </c>
      <c r="B719" s="187">
        <v>22405</v>
      </c>
      <c r="C719" s="188" t="s">
        <v>711</v>
      </c>
      <c r="D719" s="189"/>
      <c r="E719" s="190">
        <f>SUM(E720:E720)</f>
        <v>0</v>
      </c>
      <c r="F719" s="189"/>
      <c r="G719" s="191"/>
      <c r="H719" s="189"/>
      <c r="I719" s="189"/>
      <c r="J719" s="218"/>
      <c r="K719" s="189"/>
      <c r="L719" s="189"/>
      <c r="M719" s="191"/>
      <c r="N719" s="219"/>
    </row>
    <row r="720" spans="1:14">
      <c r="A720" s="198" t="s">
        <v>138</v>
      </c>
      <c r="B720" s="199">
        <v>2240599</v>
      </c>
      <c r="C720" s="199" t="s">
        <v>712</v>
      </c>
      <c r="D720" s="200"/>
      <c r="E720" s="195"/>
      <c r="F720" s="201"/>
      <c r="G720" s="197"/>
      <c r="H720" s="201"/>
      <c r="I720" s="200"/>
      <c r="J720" s="222"/>
      <c r="K720" s="200"/>
      <c r="L720" s="200"/>
      <c r="M720" s="221"/>
      <c r="N720" s="200"/>
    </row>
    <row r="721" s="162" customFormat="1" spans="1:14">
      <c r="A721" s="186" t="s">
        <v>136</v>
      </c>
      <c r="B721" s="187">
        <v>22406</v>
      </c>
      <c r="C721" s="188" t="s">
        <v>713</v>
      </c>
      <c r="D721" s="189"/>
      <c r="E721" s="190">
        <f t="shared" ref="E721:H721" si="116">SUM(E722:E724)</f>
        <v>13</v>
      </c>
      <c r="F721" s="189">
        <f t="shared" si="116"/>
        <v>19</v>
      </c>
      <c r="G721" s="191"/>
      <c r="H721" s="189">
        <f t="shared" si="116"/>
        <v>38</v>
      </c>
      <c r="I721" s="189">
        <f t="shared" ref="I721:I741" si="117">F721-H721</f>
        <v>-19</v>
      </c>
      <c r="J721" s="218">
        <f t="shared" ref="J721:J741" si="118">I721/H721*100</f>
        <v>-50</v>
      </c>
      <c r="K721" s="189"/>
      <c r="L721" s="189"/>
      <c r="M721" s="191"/>
      <c r="N721" s="219"/>
    </row>
    <row r="722" spans="1:14">
      <c r="A722" s="198" t="s">
        <v>138</v>
      </c>
      <c r="B722" s="199">
        <v>2240601</v>
      </c>
      <c r="C722" s="199" t="s">
        <v>714</v>
      </c>
      <c r="D722" s="200"/>
      <c r="E722" s="195">
        <v>13</v>
      </c>
      <c r="F722" s="201"/>
      <c r="G722" s="197"/>
      <c r="H722" s="201">
        <v>13</v>
      </c>
      <c r="I722" s="200">
        <f t="shared" si="117"/>
        <v>-13</v>
      </c>
      <c r="J722" s="222">
        <f t="shared" si="118"/>
        <v>-100</v>
      </c>
      <c r="K722" s="200"/>
      <c r="L722" s="200"/>
      <c r="M722" s="221"/>
      <c r="N722" s="200"/>
    </row>
    <row r="723" spans="1:14">
      <c r="A723" s="198" t="s">
        <v>138</v>
      </c>
      <c r="B723" s="199">
        <v>2240602</v>
      </c>
      <c r="C723" s="199" t="s">
        <v>715</v>
      </c>
      <c r="D723" s="200"/>
      <c r="E723" s="195"/>
      <c r="F723" s="201">
        <v>19</v>
      </c>
      <c r="G723" s="197"/>
      <c r="H723" s="201">
        <v>23</v>
      </c>
      <c r="I723" s="200">
        <f t="shared" si="117"/>
        <v>-4</v>
      </c>
      <c r="J723" s="222">
        <f t="shared" si="118"/>
        <v>-17.3913043478261</v>
      </c>
      <c r="K723" s="200"/>
      <c r="L723" s="200">
        <v>115</v>
      </c>
      <c r="M723" s="221"/>
      <c r="N723" s="200"/>
    </row>
    <row r="724" spans="1:14">
      <c r="A724" s="198" t="s">
        <v>138</v>
      </c>
      <c r="B724" s="199">
        <v>2240699</v>
      </c>
      <c r="C724" s="199" t="s">
        <v>716</v>
      </c>
      <c r="D724" s="200"/>
      <c r="E724" s="195"/>
      <c r="F724" s="201"/>
      <c r="G724" s="197"/>
      <c r="H724" s="201">
        <v>2</v>
      </c>
      <c r="I724" s="200">
        <f t="shared" si="117"/>
        <v>-2</v>
      </c>
      <c r="J724" s="222">
        <f t="shared" si="118"/>
        <v>-100</v>
      </c>
      <c r="K724" s="200"/>
      <c r="L724" s="200"/>
      <c r="M724" s="221"/>
      <c r="N724" s="200"/>
    </row>
    <row r="725" s="162" customFormat="1" spans="1:14">
      <c r="A725" s="186" t="s">
        <v>136</v>
      </c>
      <c r="B725" s="187">
        <v>22407</v>
      </c>
      <c r="C725" s="188" t="s">
        <v>717</v>
      </c>
      <c r="D725" s="189">
        <f>SUM(D726:D728)</f>
        <v>102</v>
      </c>
      <c r="E725" s="190">
        <f t="shared" ref="E725:H725" si="119">SUM(E726:E728)</f>
        <v>0</v>
      </c>
      <c r="F725" s="189">
        <f t="shared" si="119"/>
        <v>26</v>
      </c>
      <c r="G725" s="191">
        <f t="shared" ref="G712:G743" si="120">F725/D725*100</f>
        <v>25.4901960784314</v>
      </c>
      <c r="H725" s="189">
        <f t="shared" si="119"/>
        <v>1105</v>
      </c>
      <c r="I725" s="189">
        <f t="shared" si="117"/>
        <v>-1079</v>
      </c>
      <c r="J725" s="218">
        <f t="shared" si="118"/>
        <v>-97.6470588235294</v>
      </c>
      <c r="K725" s="189">
        <f>SUM(K726:K728)</f>
        <v>45</v>
      </c>
      <c r="L725" s="189">
        <f>K725-D725</f>
        <v>-57</v>
      </c>
      <c r="M725" s="191">
        <f>L725/D725*100</f>
        <v>-55.8823529411765</v>
      </c>
      <c r="N725" s="219"/>
    </row>
    <row r="726" s="163" customFormat="1" spans="1:14">
      <c r="A726" s="192" t="s">
        <v>138</v>
      </c>
      <c r="B726" s="193">
        <v>2240703</v>
      </c>
      <c r="C726" s="193" t="s">
        <v>718</v>
      </c>
      <c r="D726" s="202">
        <v>102</v>
      </c>
      <c r="E726" s="195"/>
      <c r="F726" s="196">
        <v>6</v>
      </c>
      <c r="G726" s="197">
        <f t="shared" si="120"/>
        <v>5.88235294117647</v>
      </c>
      <c r="H726" s="196">
        <v>603</v>
      </c>
      <c r="I726" s="202">
        <f t="shared" si="117"/>
        <v>-597</v>
      </c>
      <c r="J726" s="220">
        <f t="shared" si="118"/>
        <v>-99.0049751243781</v>
      </c>
      <c r="K726" s="202">
        <v>45</v>
      </c>
      <c r="L726" s="202">
        <f>K726-D726</f>
        <v>-57</v>
      </c>
      <c r="M726" s="221">
        <f>L726/D726*100</f>
        <v>-55.8823529411765</v>
      </c>
      <c r="N726" s="202"/>
    </row>
    <row r="727" spans="1:14">
      <c r="A727" s="198" t="s">
        <v>138</v>
      </c>
      <c r="B727" s="199">
        <v>2240704</v>
      </c>
      <c r="C727" s="199" t="s">
        <v>719</v>
      </c>
      <c r="D727" s="200"/>
      <c r="E727" s="195"/>
      <c r="F727" s="201">
        <v>20</v>
      </c>
      <c r="G727" s="197"/>
      <c r="H727" s="201">
        <v>502</v>
      </c>
      <c r="I727" s="200">
        <f t="shared" si="117"/>
        <v>-482</v>
      </c>
      <c r="J727" s="222">
        <f t="shared" si="118"/>
        <v>-96.0159362549801</v>
      </c>
      <c r="K727" s="200"/>
      <c r="L727" s="200"/>
      <c r="M727" s="221"/>
      <c r="N727" s="200"/>
    </row>
    <row r="728" spans="1:14">
      <c r="A728" s="198" t="s">
        <v>138</v>
      </c>
      <c r="B728" s="199">
        <v>2240799</v>
      </c>
      <c r="C728" s="199" t="s">
        <v>720</v>
      </c>
      <c r="D728" s="200"/>
      <c r="E728" s="195"/>
      <c r="F728" s="201"/>
      <c r="G728" s="197"/>
      <c r="H728" s="201"/>
      <c r="I728" s="200"/>
      <c r="J728" s="222"/>
      <c r="K728" s="200"/>
      <c r="L728" s="200"/>
      <c r="M728" s="221"/>
      <c r="N728" s="200"/>
    </row>
    <row r="729" s="162" customFormat="1" spans="1:14">
      <c r="A729" s="186" t="s">
        <v>136</v>
      </c>
      <c r="B729" s="187">
        <v>22499</v>
      </c>
      <c r="C729" s="188" t="s">
        <v>721</v>
      </c>
      <c r="D729" s="189"/>
      <c r="E729" s="190">
        <f>E730</f>
        <v>0</v>
      </c>
      <c r="F729" s="189"/>
      <c r="G729" s="191"/>
      <c r="H729" s="189"/>
      <c r="I729" s="189"/>
      <c r="J729" s="218"/>
      <c r="K729" s="189"/>
      <c r="L729" s="189"/>
      <c r="M729" s="191"/>
      <c r="N729" s="219"/>
    </row>
    <row r="730" spans="1:14">
      <c r="A730" s="198" t="s">
        <v>138</v>
      </c>
      <c r="B730" s="199">
        <v>2249999</v>
      </c>
      <c r="C730" s="199" t="s">
        <v>722</v>
      </c>
      <c r="D730" s="200"/>
      <c r="E730" s="195"/>
      <c r="F730" s="201"/>
      <c r="G730" s="197"/>
      <c r="H730" s="201"/>
      <c r="I730" s="200"/>
      <c r="J730" s="222"/>
      <c r="K730" s="200"/>
      <c r="L730" s="200"/>
      <c r="M730" s="221"/>
      <c r="N730" s="200"/>
    </row>
    <row r="731" s="161" customFormat="1" spans="1:14">
      <c r="A731" s="181" t="s">
        <v>134</v>
      </c>
      <c r="B731" s="182">
        <v>227</v>
      </c>
      <c r="C731" s="182" t="s">
        <v>723</v>
      </c>
      <c r="D731" s="183">
        <v>500</v>
      </c>
      <c r="E731" s="184">
        <v>600</v>
      </c>
      <c r="F731" s="183"/>
      <c r="G731" s="185"/>
      <c r="H731" s="183"/>
      <c r="I731" s="183"/>
      <c r="J731" s="215"/>
      <c r="K731" s="183">
        <v>500</v>
      </c>
      <c r="L731" s="216"/>
      <c r="M731" s="217"/>
      <c r="N731" s="216"/>
    </row>
    <row r="732" s="161" customFormat="1" spans="1:14">
      <c r="A732" s="181" t="s">
        <v>134</v>
      </c>
      <c r="B732" s="182">
        <v>229</v>
      </c>
      <c r="C732" s="182" t="s">
        <v>724</v>
      </c>
      <c r="D732" s="183">
        <f>D734+D733</f>
        <v>100</v>
      </c>
      <c r="E732" s="184">
        <f>E734+E733</f>
        <v>100</v>
      </c>
      <c r="F732" s="183"/>
      <c r="G732" s="185"/>
      <c r="H732" s="183"/>
      <c r="I732" s="183"/>
      <c r="J732" s="215"/>
      <c r="K732" s="183">
        <f>K734+K733</f>
        <v>300</v>
      </c>
      <c r="L732" s="216">
        <f>K732-D732</f>
        <v>200</v>
      </c>
      <c r="M732" s="217">
        <f>L732/D732*100</f>
        <v>200</v>
      </c>
      <c r="N732" s="216"/>
    </row>
    <row r="733" s="162" customFormat="1" spans="1:14">
      <c r="A733" s="186" t="s">
        <v>136</v>
      </c>
      <c r="B733" s="187">
        <v>22902</v>
      </c>
      <c r="C733" s="187" t="s">
        <v>725</v>
      </c>
      <c r="D733" s="189">
        <v>100</v>
      </c>
      <c r="E733" s="190">
        <v>100</v>
      </c>
      <c r="F733" s="189"/>
      <c r="G733" s="191"/>
      <c r="H733" s="189"/>
      <c r="I733" s="189"/>
      <c r="J733" s="218"/>
      <c r="K733" s="189">
        <v>300</v>
      </c>
      <c r="L733" s="189">
        <f>K733-D733</f>
        <v>200</v>
      </c>
      <c r="M733" s="191">
        <f>L733/D733*100</f>
        <v>200</v>
      </c>
      <c r="N733" s="219"/>
    </row>
    <row r="734" s="162" customFormat="1" spans="1:14">
      <c r="A734" s="186" t="s">
        <v>136</v>
      </c>
      <c r="B734" s="187">
        <v>22999</v>
      </c>
      <c r="C734" s="187" t="s">
        <v>667</v>
      </c>
      <c r="D734" s="189"/>
      <c r="E734" s="190"/>
      <c r="F734" s="189"/>
      <c r="G734" s="191"/>
      <c r="H734" s="189"/>
      <c r="I734" s="189"/>
      <c r="J734" s="218"/>
      <c r="K734" s="189"/>
      <c r="L734" s="189"/>
      <c r="M734" s="191"/>
      <c r="N734" s="219"/>
    </row>
    <row r="735" s="161" customFormat="1" spans="1:14">
      <c r="A735" s="181" t="s">
        <v>134</v>
      </c>
      <c r="B735" s="182">
        <v>232</v>
      </c>
      <c r="C735" s="182" t="s">
        <v>726</v>
      </c>
      <c r="D735" s="183">
        <f>D736</f>
        <v>1159</v>
      </c>
      <c r="E735" s="184">
        <f t="shared" ref="E735:F735" si="121">E736</f>
        <v>816</v>
      </c>
      <c r="F735" s="183">
        <f t="shared" si="121"/>
        <v>1341</v>
      </c>
      <c r="G735" s="185">
        <f t="shared" si="120"/>
        <v>115.703192407248</v>
      </c>
      <c r="H735" s="183">
        <f>H736</f>
        <v>816</v>
      </c>
      <c r="I735" s="183">
        <f t="shared" si="117"/>
        <v>525</v>
      </c>
      <c r="J735" s="215">
        <f t="shared" si="118"/>
        <v>64.3382352941177</v>
      </c>
      <c r="K735" s="183">
        <f>K736</f>
        <v>1017</v>
      </c>
      <c r="L735" s="216">
        <f>K735-D735</f>
        <v>-142</v>
      </c>
      <c r="M735" s="217">
        <f>L735/D735*100</f>
        <v>-12.2519413287317</v>
      </c>
      <c r="N735" s="216"/>
    </row>
    <row r="736" s="162" customFormat="1" spans="1:14">
      <c r="A736" s="186" t="s">
        <v>136</v>
      </c>
      <c r="B736" s="187">
        <v>23203</v>
      </c>
      <c r="C736" s="188" t="s">
        <v>727</v>
      </c>
      <c r="D736" s="189">
        <f>SUM(D737:D740)</f>
        <v>1159</v>
      </c>
      <c r="E736" s="190">
        <f t="shared" ref="E736:H736" si="122">SUM(E737:E740)</f>
        <v>816</v>
      </c>
      <c r="F736" s="189">
        <f t="shared" si="122"/>
        <v>1341</v>
      </c>
      <c r="G736" s="191">
        <f t="shared" si="120"/>
        <v>115.703192407248</v>
      </c>
      <c r="H736" s="189">
        <f t="shared" si="122"/>
        <v>816</v>
      </c>
      <c r="I736" s="189">
        <f t="shared" si="117"/>
        <v>525</v>
      </c>
      <c r="J736" s="218">
        <f t="shared" si="118"/>
        <v>64.3382352941177</v>
      </c>
      <c r="K736" s="189">
        <f>SUM(K737:K740)</f>
        <v>1017</v>
      </c>
      <c r="L736" s="189">
        <f>K736-D736</f>
        <v>-142</v>
      </c>
      <c r="M736" s="191">
        <f>L736/D736*100</f>
        <v>-12.2519413287317</v>
      </c>
      <c r="N736" s="219"/>
    </row>
    <row r="737" s="164" customFormat="1" ht="12" spans="1:14">
      <c r="A737" s="224" t="s">
        <v>138</v>
      </c>
      <c r="B737" s="193">
        <v>2320301</v>
      </c>
      <c r="C737" s="193" t="s">
        <v>728</v>
      </c>
      <c r="D737" s="225">
        <v>1159</v>
      </c>
      <c r="E737" s="195">
        <v>816</v>
      </c>
      <c r="F737" s="196">
        <v>1341</v>
      </c>
      <c r="G737" s="197">
        <f t="shared" si="120"/>
        <v>115.703192407248</v>
      </c>
      <c r="H737" s="196">
        <v>816</v>
      </c>
      <c r="I737" s="225">
        <f t="shared" si="117"/>
        <v>525</v>
      </c>
      <c r="J737" s="234">
        <f t="shared" si="118"/>
        <v>64.3382352941177</v>
      </c>
      <c r="K737" s="225">
        <v>1017</v>
      </c>
      <c r="L737" s="225">
        <f>K737-D737</f>
        <v>-142</v>
      </c>
      <c r="M737" s="235">
        <f>L737/D737*100</f>
        <v>-12.2519413287317</v>
      </c>
      <c r="N737" s="225"/>
    </row>
    <row r="738" s="165" customFormat="1" ht="12" spans="1:14">
      <c r="A738" s="226" t="s">
        <v>138</v>
      </c>
      <c r="B738" s="199">
        <v>2320302</v>
      </c>
      <c r="C738" s="199" t="s">
        <v>729</v>
      </c>
      <c r="D738" s="11"/>
      <c r="E738" s="195"/>
      <c r="F738" s="201"/>
      <c r="G738" s="197"/>
      <c r="H738" s="201"/>
      <c r="I738" s="11"/>
      <c r="J738" s="236"/>
      <c r="K738" s="11"/>
      <c r="L738" s="11"/>
      <c r="M738" s="235"/>
      <c r="N738" s="11"/>
    </row>
    <row r="739" s="165" customFormat="1" ht="12" spans="1:14">
      <c r="A739" s="226" t="s">
        <v>138</v>
      </c>
      <c r="B739" s="199">
        <v>2320303</v>
      </c>
      <c r="C739" s="199" t="s">
        <v>730</v>
      </c>
      <c r="D739" s="11"/>
      <c r="E739" s="195"/>
      <c r="F739" s="201"/>
      <c r="G739" s="197"/>
      <c r="H739" s="201"/>
      <c r="I739" s="11"/>
      <c r="J739" s="236"/>
      <c r="K739" s="11"/>
      <c r="L739" s="11"/>
      <c r="M739" s="235"/>
      <c r="N739" s="11"/>
    </row>
    <row r="740" s="165" customFormat="1" ht="12" spans="1:14">
      <c r="A740" s="226" t="s">
        <v>138</v>
      </c>
      <c r="B740" s="199">
        <v>2320399</v>
      </c>
      <c r="C740" s="199" t="s">
        <v>731</v>
      </c>
      <c r="D740" s="11"/>
      <c r="E740" s="195"/>
      <c r="F740" s="201"/>
      <c r="G740" s="197"/>
      <c r="H740" s="201"/>
      <c r="I740" s="11"/>
      <c r="J740" s="236"/>
      <c r="K740" s="11"/>
      <c r="L740" s="11"/>
      <c r="M740" s="235"/>
      <c r="N740" s="11"/>
    </row>
    <row r="741" s="166" customFormat="1" ht="12" spans="1:14">
      <c r="A741" s="227" t="s">
        <v>134</v>
      </c>
      <c r="B741" s="182">
        <v>233</v>
      </c>
      <c r="C741" s="182" t="s">
        <v>732</v>
      </c>
      <c r="D741" s="183"/>
      <c r="E741" s="184">
        <f t="shared" ref="E741:H741" si="123">SUM(E742:E742)</f>
        <v>0</v>
      </c>
      <c r="F741" s="183">
        <f t="shared" si="123"/>
        <v>11</v>
      </c>
      <c r="G741" s="185"/>
      <c r="H741" s="183">
        <f t="shared" si="123"/>
        <v>15</v>
      </c>
      <c r="I741" s="183">
        <f t="shared" si="117"/>
        <v>-4</v>
      </c>
      <c r="J741" s="215">
        <f t="shared" si="118"/>
        <v>-26.6666666666667</v>
      </c>
      <c r="K741" s="183"/>
      <c r="L741" s="237"/>
      <c r="M741" s="238"/>
      <c r="N741" s="237"/>
    </row>
    <row r="742" s="167" customFormat="1" ht="12" spans="1:14">
      <c r="A742" s="228" t="s">
        <v>136</v>
      </c>
      <c r="B742" s="187">
        <v>23303</v>
      </c>
      <c r="C742" s="188" t="s">
        <v>733</v>
      </c>
      <c r="D742" s="189"/>
      <c r="E742" s="190"/>
      <c r="F742" s="189">
        <v>11</v>
      </c>
      <c r="G742" s="191"/>
      <c r="H742" s="189">
        <v>15</v>
      </c>
      <c r="I742" s="189">
        <f t="shared" ref="I742:I754" si="124">F742-H742</f>
        <v>-4</v>
      </c>
      <c r="J742" s="218">
        <f t="shared" ref="J742:J747" si="125">I742/H742*100</f>
        <v>-26.6666666666667</v>
      </c>
      <c r="K742" s="189"/>
      <c r="L742" s="189"/>
      <c r="M742" s="191"/>
      <c r="N742" s="239"/>
    </row>
    <row r="743" s="166" customFormat="1" ht="12" spans="1:14">
      <c r="A743" s="227" t="s">
        <v>734</v>
      </c>
      <c r="B743" s="182"/>
      <c r="C743" s="182" t="s">
        <v>735</v>
      </c>
      <c r="D743" s="183">
        <f>D7+D151+D170+D183+D228+D259+D282+D313+D416+D468+D502+D520+D599+D616+D634+D642+D655+D665+D677+D689+D698+D732+D735+D741+D731</f>
        <v>47952</v>
      </c>
      <c r="E743" s="183">
        <f t="shared" ref="E743:H743" si="126">E7+E151+E170+E183+E228+E259+E282+E313+E416+E468+E502+E520+E599+E616+E634+E642+E655+E665+E677+E689+E698+E732+E735+E741+E731</f>
        <v>59312</v>
      </c>
      <c r="F743" s="183">
        <f t="shared" si="126"/>
        <v>63579</v>
      </c>
      <c r="G743" s="185">
        <f t="shared" si="120"/>
        <v>132.588838838839</v>
      </c>
      <c r="H743" s="183">
        <f t="shared" si="126"/>
        <v>70788</v>
      </c>
      <c r="I743" s="183">
        <f t="shared" si="124"/>
        <v>-7209</v>
      </c>
      <c r="J743" s="215">
        <f t="shared" si="125"/>
        <v>-10.1839294795728</v>
      </c>
      <c r="K743" s="183">
        <f>K7+K151+K170+K183+K228+K259+K282+K313+K416+K468+K502+K520+K599+K616+K634+K642+K655+K665+K677+K689+K698+K732+K735+K741+K731</f>
        <v>47472</v>
      </c>
      <c r="L743" s="183">
        <f>K743-D743</f>
        <v>-480</v>
      </c>
      <c r="M743" s="238">
        <f>L743/D743*100</f>
        <v>-1.001001001001</v>
      </c>
      <c r="N743" s="237"/>
    </row>
    <row r="744" s="166" customFormat="1" ht="12" spans="1:14">
      <c r="A744" s="227" t="s">
        <v>734</v>
      </c>
      <c r="B744" s="182"/>
      <c r="C744" s="182" t="s">
        <v>736</v>
      </c>
      <c r="D744" s="183">
        <f>D745+D748+D749+D750+D751+D753+D754+D755+D756</f>
        <v>14468</v>
      </c>
      <c r="E744" s="183">
        <f>E745+E748+E749+E750+E751+E753+E754+E755+E756</f>
        <v>3631</v>
      </c>
      <c r="F744" s="183">
        <f>F745+F748+F749+F750+F751+F753+F754+F755+F756+F752</f>
        <v>34079</v>
      </c>
      <c r="G744" s="185">
        <f>F744/E744*100</f>
        <v>938.556871385293</v>
      </c>
      <c r="H744" s="183">
        <f>H745+H748+H749+H750+H751+H753+H754+H755+H756+H752</f>
        <v>26916</v>
      </c>
      <c r="I744" s="183">
        <f t="shared" si="124"/>
        <v>7163</v>
      </c>
      <c r="J744" s="215">
        <f t="shared" si="125"/>
        <v>26.6124238371229</v>
      </c>
      <c r="K744" s="183">
        <f>K745+K748+K749+K750+K751+K753+K754+K755+K756</f>
        <v>6798</v>
      </c>
      <c r="L744" s="237">
        <f>K744-D744</f>
        <v>-7670</v>
      </c>
      <c r="M744" s="238">
        <f>L744/D744*100</f>
        <v>-53.0135471385126</v>
      </c>
      <c r="N744" s="237"/>
    </row>
    <row r="745" s="166" customFormat="1" ht="12" spans="1:14">
      <c r="A745" s="227" t="s">
        <v>734</v>
      </c>
      <c r="B745" s="182"/>
      <c r="C745" s="182" t="s">
        <v>737</v>
      </c>
      <c r="D745" s="183">
        <f>SUM(D746:D747)</f>
        <v>4000</v>
      </c>
      <c r="E745" s="184">
        <f t="shared" ref="E745:F745" si="127">SUM(E746:E747)</f>
        <v>3000</v>
      </c>
      <c r="F745" s="183">
        <f t="shared" si="127"/>
        <v>4161</v>
      </c>
      <c r="G745" s="185">
        <f>F745/E745*100</f>
        <v>138.7</v>
      </c>
      <c r="H745" s="183">
        <f>SUM(H746:H747)</f>
        <v>5030</v>
      </c>
      <c r="I745" s="183">
        <f t="shared" si="124"/>
        <v>-869</v>
      </c>
      <c r="J745" s="215">
        <f t="shared" si="125"/>
        <v>-17.2763419483101</v>
      </c>
      <c r="K745" s="183">
        <f>SUM(K746:K747)</f>
        <v>4000</v>
      </c>
      <c r="L745" s="237"/>
      <c r="M745" s="238"/>
      <c r="N745" s="237"/>
    </row>
    <row r="746" s="168" customFormat="1" ht="12" spans="1:14">
      <c r="A746" s="229" t="s">
        <v>738</v>
      </c>
      <c r="B746" s="199">
        <v>2300601</v>
      </c>
      <c r="C746" s="230" t="s">
        <v>739</v>
      </c>
      <c r="D746" s="231">
        <v>2000</v>
      </c>
      <c r="E746" s="231">
        <v>2000</v>
      </c>
      <c r="F746" s="201">
        <v>3239</v>
      </c>
      <c r="G746" s="232">
        <f>F746/E746*100</f>
        <v>161.95</v>
      </c>
      <c r="H746" s="233">
        <v>3632</v>
      </c>
      <c r="I746" s="233">
        <f t="shared" si="124"/>
        <v>-393</v>
      </c>
      <c r="J746" s="240">
        <f t="shared" si="125"/>
        <v>-10.8204845814978</v>
      </c>
      <c r="K746" s="231">
        <v>3000</v>
      </c>
      <c r="L746" s="241">
        <f>K746-D746</f>
        <v>1000</v>
      </c>
      <c r="M746" s="232">
        <f>L746/D746*100</f>
        <v>50</v>
      </c>
      <c r="N746" s="242"/>
    </row>
    <row r="747" s="168" customFormat="1" ht="12" spans="1:14">
      <c r="A747" s="229" t="s">
        <v>738</v>
      </c>
      <c r="B747" s="199">
        <v>2300602</v>
      </c>
      <c r="C747" s="230" t="s">
        <v>740</v>
      </c>
      <c r="D747" s="231">
        <v>2000</v>
      </c>
      <c r="E747" s="231">
        <v>1000</v>
      </c>
      <c r="F747" s="201">
        <v>922</v>
      </c>
      <c r="G747" s="232">
        <f>F747/E747*100</f>
        <v>92.2</v>
      </c>
      <c r="H747" s="233">
        <v>1398</v>
      </c>
      <c r="I747" s="233">
        <f t="shared" si="124"/>
        <v>-476</v>
      </c>
      <c r="J747" s="240">
        <f t="shared" si="125"/>
        <v>-34.0486409155937</v>
      </c>
      <c r="K747" s="231">
        <v>1000</v>
      </c>
      <c r="L747" s="241">
        <f>K747-D747</f>
        <v>-1000</v>
      </c>
      <c r="M747" s="232">
        <f>L747/D747*100</f>
        <v>-50</v>
      </c>
      <c r="N747" s="242"/>
    </row>
    <row r="748" s="161" customFormat="1" spans="1:14">
      <c r="A748" s="181" t="s">
        <v>734</v>
      </c>
      <c r="B748" s="182"/>
      <c r="C748" s="182" t="s">
        <v>741</v>
      </c>
      <c r="D748" s="183"/>
      <c r="E748" s="184"/>
      <c r="F748" s="183"/>
      <c r="G748" s="185"/>
      <c r="H748" s="183"/>
      <c r="I748" s="183"/>
      <c r="J748" s="215"/>
      <c r="K748" s="183"/>
      <c r="L748" s="216"/>
      <c r="M748" s="217"/>
      <c r="N748" s="216"/>
    </row>
    <row r="749" s="161" customFormat="1" spans="1:14">
      <c r="A749" s="181" t="s">
        <v>734</v>
      </c>
      <c r="B749" s="182"/>
      <c r="C749" s="182" t="s">
        <v>742</v>
      </c>
      <c r="D749" s="183"/>
      <c r="E749" s="184"/>
      <c r="F749" s="183"/>
      <c r="G749" s="185"/>
      <c r="H749" s="183"/>
      <c r="I749" s="183"/>
      <c r="J749" s="215"/>
      <c r="K749" s="183"/>
      <c r="L749" s="216"/>
      <c r="M749" s="217"/>
      <c r="N749" s="216"/>
    </row>
    <row r="750" s="161" customFormat="1" spans="1:14">
      <c r="A750" s="181" t="s">
        <v>734</v>
      </c>
      <c r="B750" s="182"/>
      <c r="C750" s="182" t="s">
        <v>743</v>
      </c>
      <c r="D750" s="183"/>
      <c r="E750" s="184"/>
      <c r="F750" s="183"/>
      <c r="G750" s="185"/>
      <c r="H750" s="183"/>
      <c r="I750" s="183"/>
      <c r="J750" s="215"/>
      <c r="K750" s="183"/>
      <c r="L750" s="216"/>
      <c r="M750" s="217"/>
      <c r="N750" s="216"/>
    </row>
    <row r="751" s="161" customFormat="1" spans="1:14">
      <c r="A751" s="181" t="s">
        <v>734</v>
      </c>
      <c r="B751" s="182"/>
      <c r="C751" s="182" t="s">
        <v>744</v>
      </c>
      <c r="D751" s="183">
        <v>10468</v>
      </c>
      <c r="E751" s="184">
        <v>431</v>
      </c>
      <c r="F751" s="183">
        <v>11054</v>
      </c>
      <c r="G751" s="185">
        <f>F751/E751*100</f>
        <v>2564.73317865429</v>
      </c>
      <c r="H751" s="183">
        <v>431</v>
      </c>
      <c r="I751" s="183">
        <f t="shared" si="124"/>
        <v>10623</v>
      </c>
      <c r="J751" s="215">
        <f>I751/H751*100</f>
        <v>2464.73317865429</v>
      </c>
      <c r="K751" s="183">
        <v>2798</v>
      </c>
      <c r="L751" s="216">
        <f>K751-D751</f>
        <v>-7670</v>
      </c>
      <c r="M751" s="217">
        <f>L751/D751*100</f>
        <v>-73.270920901796</v>
      </c>
      <c r="N751" s="216"/>
    </row>
    <row r="752" s="161" customFormat="1" spans="1:14">
      <c r="A752" s="181" t="s">
        <v>734</v>
      </c>
      <c r="B752" s="182"/>
      <c r="C752" s="182" t="s">
        <v>745</v>
      </c>
      <c r="D752" s="183"/>
      <c r="E752" s="184"/>
      <c r="F752" s="183"/>
      <c r="G752" s="185"/>
      <c r="H752" s="183"/>
      <c r="I752" s="183"/>
      <c r="J752" s="215"/>
      <c r="K752" s="183"/>
      <c r="L752" s="216"/>
      <c r="M752" s="217"/>
      <c r="N752" s="216"/>
    </row>
    <row r="753" s="161" customFormat="1" spans="1:14">
      <c r="A753" s="181" t="s">
        <v>734</v>
      </c>
      <c r="B753" s="182"/>
      <c r="C753" s="182" t="s">
        <v>746</v>
      </c>
      <c r="D753" s="183"/>
      <c r="E753" s="184"/>
      <c r="F753" s="183"/>
      <c r="G753" s="185"/>
      <c r="H753" s="183"/>
      <c r="I753" s="183"/>
      <c r="J753" s="215"/>
      <c r="K753" s="183"/>
      <c r="L753" s="216"/>
      <c r="M753" s="217"/>
      <c r="N753" s="216"/>
    </row>
    <row r="754" s="161" customFormat="1" spans="1:14">
      <c r="A754" s="181" t="s">
        <v>734</v>
      </c>
      <c r="B754" s="182"/>
      <c r="C754" s="182" t="s">
        <v>747</v>
      </c>
      <c r="D754" s="183"/>
      <c r="E754" s="184">
        <v>200</v>
      </c>
      <c r="F754" s="183"/>
      <c r="G754" s="185"/>
      <c r="H754" s="183">
        <v>814</v>
      </c>
      <c r="I754" s="183">
        <f t="shared" si="124"/>
        <v>-814</v>
      </c>
      <c r="J754" s="215"/>
      <c r="K754" s="183"/>
      <c r="L754" s="216"/>
      <c r="M754" s="217"/>
      <c r="N754" s="216"/>
    </row>
    <row r="755" s="161" customFormat="1" spans="1:14">
      <c r="A755" s="181" t="s">
        <v>734</v>
      </c>
      <c r="B755" s="182"/>
      <c r="C755" s="182" t="s">
        <v>748</v>
      </c>
      <c r="D755" s="183"/>
      <c r="E755" s="184"/>
      <c r="F755" s="183"/>
      <c r="G755" s="185"/>
      <c r="H755" s="183"/>
      <c r="I755" s="183"/>
      <c r="J755" s="215"/>
      <c r="K755" s="183"/>
      <c r="L755" s="216"/>
      <c r="M755" s="217"/>
      <c r="N755" s="216"/>
    </row>
    <row r="756" s="161" customFormat="1" spans="1:14">
      <c r="A756" s="181" t="s">
        <v>734</v>
      </c>
      <c r="B756" s="182"/>
      <c r="C756" s="182" t="s">
        <v>749</v>
      </c>
      <c r="D756" s="183"/>
      <c r="E756" s="184"/>
      <c r="F756" s="183">
        <v>18864</v>
      </c>
      <c r="G756" s="185"/>
      <c r="H756" s="183">
        <v>20641</v>
      </c>
      <c r="I756" s="183">
        <f>F756-H756</f>
        <v>-1777</v>
      </c>
      <c r="J756" s="215">
        <f>I756/H756*100</f>
        <v>-8.60907901748946</v>
      </c>
      <c r="K756" s="183"/>
      <c r="L756" s="216"/>
      <c r="M756" s="217"/>
      <c r="N756" s="216"/>
    </row>
    <row r="757" s="161" customFormat="1" spans="1:14">
      <c r="A757" s="181" t="s">
        <v>734</v>
      </c>
      <c r="B757" s="182"/>
      <c r="C757" s="182" t="s">
        <v>750</v>
      </c>
      <c r="D757" s="183">
        <f>D743+D744</f>
        <v>62420</v>
      </c>
      <c r="E757" s="183">
        <f t="shared" ref="E757:F757" si="128">E743+E744</f>
        <v>62943</v>
      </c>
      <c r="F757" s="183">
        <f t="shared" si="128"/>
        <v>97658</v>
      </c>
      <c r="G757" s="185">
        <f>F757/E757*100</f>
        <v>155.153075004369</v>
      </c>
      <c r="H757" s="183">
        <f>H743+H744</f>
        <v>97704</v>
      </c>
      <c r="I757" s="183">
        <f>F757-H757</f>
        <v>-46</v>
      </c>
      <c r="J757" s="215">
        <f>I757/H757*100</f>
        <v>-0.0470809792843691</v>
      </c>
      <c r="K757" s="183">
        <f>K743+K744</f>
        <v>54270</v>
      </c>
      <c r="L757" s="216">
        <f>K757-D757</f>
        <v>-8150</v>
      </c>
      <c r="M757" s="217">
        <f>L757/D757*100</f>
        <v>-13.0567125921179</v>
      </c>
      <c r="N757" s="216"/>
    </row>
    <row r="758" spans="5:13">
      <c r="E758" s="169"/>
      <c r="F758" s="169"/>
      <c r="G758" s="169"/>
      <c r="H758" s="169"/>
      <c r="I758" s="169"/>
      <c r="J758" s="169"/>
      <c r="K758" s="169"/>
      <c r="L758" s="169"/>
      <c r="M758" s="169"/>
    </row>
  </sheetData>
  <autoFilter ref="A6:N759">
    <extLst/>
  </autoFilter>
  <mergeCells count="16">
    <mergeCell ref="A2:N2"/>
    <mergeCell ref="A3:N3"/>
    <mergeCell ref="D4:J4"/>
    <mergeCell ref="K4:M4"/>
    <mergeCell ref="I5:J5"/>
    <mergeCell ref="L5:M5"/>
    <mergeCell ref="A4:A6"/>
    <mergeCell ref="B4:B6"/>
    <mergeCell ref="C4:C6"/>
    <mergeCell ref="D5:D6"/>
    <mergeCell ref="E5:E6"/>
    <mergeCell ref="F5:F6"/>
    <mergeCell ref="G5:G6"/>
    <mergeCell ref="H5:H6"/>
    <mergeCell ref="K5:K6"/>
    <mergeCell ref="N4:N6"/>
  </mergeCells>
  <printOptions horizontalCentered="1"/>
  <pageMargins left="0.511805555555556" right="0.700694444444445" top="0.550694444444444" bottom="0.786805555555556" header="0.354166666666667" footer="0.118055555555556"/>
  <pageSetup paperSize="9" scale="85" fitToHeight="0" orientation="landscape" blackAndWhite="1"/>
  <headerFooter/>
  <ignoredErrors>
    <ignoredError sqref="G758:G759 G677 G7:G9 G12 G14:G15 G18 G23:G24 G26:G30 G32 G34:G35 G40 G42:G44 G53:G54 G59:G60 G63:G64 G70:G71 G79:G80 G87:G88 G91 G94:G95 G101:G102 G106:G109 G113 G115:G116 G124:G125 G128 G132:G133 G142:G143 G170 G177 G183 G203:G204 G228:G230 G233:G237 G240 G257:G261 G280:G284 G287:G288 G291 G294 G302 G313:G315 G321:G323 G332:G334 G336 G343 G353 G357 G362 G364 G366 G368 G370:G371 G378 G381:G382 G402:G403 G406 G409 G411 G413:G418 G424 G426:G428 G431:G432 G435:G437 G439:G442 G468 G477 G502:G504 G514:G515 G520:G522 G525 G537 G547:G548 G551 G557:G560 G578:G581 G584:G586 G588 G592 G594 G599:G601 G604 G606 G613 G615:G616 G623:G625 G642 G647 G649 G683:G684 G698:G699 G708 G725:G726 G735:G737 G743:G75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70"/>
  <sheetViews>
    <sheetView topLeftCell="A52" workbookViewId="0">
      <selection activeCell="E32" sqref="E32"/>
    </sheetView>
  </sheetViews>
  <sheetFormatPr defaultColWidth="35.2166666666667" defaultRowHeight="13.5" outlineLevelCol="2"/>
  <cols>
    <col min="1" max="1" width="8.88333333333333" customWidth="1"/>
    <col min="2" max="2" width="41.1083333333333" customWidth="1"/>
    <col min="3" max="3" width="19.3333333333333" style="5" customWidth="1"/>
    <col min="4" max="16381" width="35.2166666666667" customWidth="1"/>
  </cols>
  <sheetData>
    <row r="1" spans="1:3">
      <c r="A1" s="144" t="s">
        <v>751</v>
      </c>
      <c r="B1" s="144"/>
      <c r="C1" s="145"/>
    </row>
    <row r="2" ht="55.05" customHeight="1" spans="1:3">
      <c r="A2" s="146" t="s">
        <v>752</v>
      </c>
      <c r="B2" s="147"/>
      <c r="C2" s="148"/>
    </row>
    <row r="3" spans="1:3">
      <c r="A3" s="149"/>
      <c r="B3" s="149"/>
      <c r="C3" s="150"/>
    </row>
    <row r="4" ht="18" customHeight="1" spans="1:3">
      <c r="A4" s="151" t="s">
        <v>753</v>
      </c>
      <c r="B4" s="151" t="s">
        <v>754</v>
      </c>
      <c r="C4" s="152" t="s">
        <v>755</v>
      </c>
    </row>
    <row r="5" ht="18" customHeight="1" spans="1:3">
      <c r="A5" s="153" t="s">
        <v>756</v>
      </c>
      <c r="B5" s="153" t="s">
        <v>757</v>
      </c>
      <c r="C5" s="154">
        <f>SUM(C6:C9)</f>
        <v>8511</v>
      </c>
    </row>
    <row r="6" ht="18" customHeight="1" spans="1:3">
      <c r="A6" s="155" t="s">
        <v>758</v>
      </c>
      <c r="B6" s="155" t="s">
        <v>759</v>
      </c>
      <c r="C6" s="156">
        <v>6301</v>
      </c>
    </row>
    <row r="7" ht="18" customHeight="1" spans="1:3">
      <c r="A7" s="155" t="s">
        <v>760</v>
      </c>
      <c r="B7" s="155" t="s">
        <v>761</v>
      </c>
      <c r="C7" s="156">
        <v>1556</v>
      </c>
    </row>
    <row r="8" ht="18" customHeight="1" spans="1:3">
      <c r="A8" s="155" t="s">
        <v>762</v>
      </c>
      <c r="B8" s="155" t="s">
        <v>763</v>
      </c>
      <c r="C8" s="156">
        <v>537</v>
      </c>
    </row>
    <row r="9" ht="18" customHeight="1" spans="1:3">
      <c r="A9" s="155" t="s">
        <v>764</v>
      </c>
      <c r="B9" s="155" t="s">
        <v>765</v>
      </c>
      <c r="C9" s="156">
        <v>117</v>
      </c>
    </row>
    <row r="10" ht="18" customHeight="1" spans="1:3">
      <c r="A10" s="157" t="s">
        <v>766</v>
      </c>
      <c r="B10" s="157" t="s">
        <v>767</v>
      </c>
      <c r="C10" s="158">
        <f>SUM(C11:C20)</f>
        <v>1259</v>
      </c>
    </row>
    <row r="11" ht="18" customHeight="1" spans="1:3">
      <c r="A11" s="155" t="s">
        <v>768</v>
      </c>
      <c r="B11" s="155" t="s">
        <v>769</v>
      </c>
      <c r="C11" s="156">
        <v>916</v>
      </c>
    </row>
    <row r="12" ht="18" customHeight="1" spans="1:3">
      <c r="A12" s="155" t="s">
        <v>770</v>
      </c>
      <c r="B12" s="155" t="s">
        <v>771</v>
      </c>
      <c r="C12" s="156">
        <v>6</v>
      </c>
    </row>
    <row r="13" ht="18" customHeight="1" spans="1:3">
      <c r="A13" s="155" t="s">
        <v>772</v>
      </c>
      <c r="B13" s="155" t="s">
        <v>773</v>
      </c>
      <c r="C13" s="156">
        <v>7</v>
      </c>
    </row>
    <row r="14" ht="18" customHeight="1" spans="1:3">
      <c r="A14" s="155" t="s">
        <v>774</v>
      </c>
      <c r="B14" s="155" t="s">
        <v>775</v>
      </c>
      <c r="C14" s="156">
        <v>2</v>
      </c>
    </row>
    <row r="15" ht="18" customHeight="1" spans="1:3">
      <c r="A15" s="155" t="s">
        <v>776</v>
      </c>
      <c r="B15" s="155" t="s">
        <v>777</v>
      </c>
      <c r="C15" s="156">
        <v>14</v>
      </c>
    </row>
    <row r="16" ht="18" customHeight="1" spans="1:3">
      <c r="A16" s="155" t="s">
        <v>778</v>
      </c>
      <c r="B16" s="155" t="s">
        <v>779</v>
      </c>
      <c r="C16" s="156">
        <v>16</v>
      </c>
    </row>
    <row r="17" ht="18" customHeight="1" spans="1:3">
      <c r="A17" s="155" t="s">
        <v>780</v>
      </c>
      <c r="B17" s="155" t="s">
        <v>781</v>
      </c>
      <c r="C17" s="156"/>
    </row>
    <row r="18" ht="18" customHeight="1" spans="1:3">
      <c r="A18" s="155" t="s">
        <v>782</v>
      </c>
      <c r="B18" s="155" t="s">
        <v>783</v>
      </c>
      <c r="C18" s="156">
        <v>75</v>
      </c>
    </row>
    <row r="19" ht="18" customHeight="1" spans="1:3">
      <c r="A19" s="155" t="s">
        <v>784</v>
      </c>
      <c r="B19" s="155" t="s">
        <v>785</v>
      </c>
      <c r="C19" s="156">
        <v>29</v>
      </c>
    </row>
    <row r="20" ht="18" customHeight="1" spans="1:3">
      <c r="A20" s="155" t="s">
        <v>786</v>
      </c>
      <c r="B20" s="155" t="s">
        <v>787</v>
      </c>
      <c r="C20" s="156">
        <v>194</v>
      </c>
    </row>
    <row r="21" ht="18" customHeight="1" spans="1:3">
      <c r="A21" s="157" t="s">
        <v>788</v>
      </c>
      <c r="B21" s="157" t="s">
        <v>789</v>
      </c>
      <c r="C21" s="158">
        <f>SUM(C22:C28)</f>
        <v>7</v>
      </c>
    </row>
    <row r="22" ht="18" customHeight="1" spans="1:3">
      <c r="A22" s="155" t="s">
        <v>790</v>
      </c>
      <c r="B22" s="155" t="s">
        <v>791</v>
      </c>
      <c r="C22" s="156"/>
    </row>
    <row r="23" ht="18" customHeight="1" spans="1:3">
      <c r="A23" s="155" t="s">
        <v>792</v>
      </c>
      <c r="B23" s="155" t="s">
        <v>793</v>
      </c>
      <c r="C23" s="156"/>
    </row>
    <row r="24" ht="18" customHeight="1" spans="1:3">
      <c r="A24" s="155" t="s">
        <v>794</v>
      </c>
      <c r="B24" s="155" t="s">
        <v>795</v>
      </c>
      <c r="C24" s="156"/>
    </row>
    <row r="25" ht="18" customHeight="1" spans="1:3">
      <c r="A25" s="155" t="s">
        <v>796</v>
      </c>
      <c r="B25" s="155" t="s">
        <v>797</v>
      </c>
      <c r="C25" s="156"/>
    </row>
    <row r="26" ht="18" customHeight="1" spans="1:3">
      <c r="A26" s="155" t="s">
        <v>798</v>
      </c>
      <c r="B26" s="155" t="s">
        <v>799</v>
      </c>
      <c r="C26" s="156">
        <v>7</v>
      </c>
    </row>
    <row r="27" ht="18" customHeight="1" spans="1:3">
      <c r="A27" s="155" t="s">
        <v>800</v>
      </c>
      <c r="B27" s="155" t="s">
        <v>801</v>
      </c>
      <c r="C27" s="156"/>
    </row>
    <row r="28" ht="18" customHeight="1" spans="1:3">
      <c r="A28" s="155" t="s">
        <v>802</v>
      </c>
      <c r="B28" s="155" t="s">
        <v>803</v>
      </c>
      <c r="C28" s="156"/>
    </row>
    <row r="29" ht="18" customHeight="1" spans="1:3">
      <c r="A29" s="157" t="s">
        <v>804</v>
      </c>
      <c r="B29" s="157" t="s">
        <v>805</v>
      </c>
      <c r="C29" s="158">
        <f>SUM(C30:C35)</f>
        <v>0</v>
      </c>
    </row>
    <row r="30" ht="18" customHeight="1" spans="1:3">
      <c r="A30" s="155" t="s">
        <v>806</v>
      </c>
      <c r="B30" s="155" t="s">
        <v>791</v>
      </c>
      <c r="C30" s="156"/>
    </row>
    <row r="31" ht="18" customHeight="1" spans="1:3">
      <c r="A31" s="155" t="s">
        <v>807</v>
      </c>
      <c r="B31" s="155" t="s">
        <v>793</v>
      </c>
      <c r="C31" s="156"/>
    </row>
    <row r="32" ht="18" customHeight="1" spans="1:3">
      <c r="A32" s="155" t="s">
        <v>808</v>
      </c>
      <c r="B32" s="155" t="s">
        <v>795</v>
      </c>
      <c r="C32" s="156"/>
    </row>
    <row r="33" ht="18" customHeight="1" spans="1:3">
      <c r="A33" s="155" t="s">
        <v>809</v>
      </c>
      <c r="B33" s="155" t="s">
        <v>799</v>
      </c>
      <c r="C33" s="156"/>
    </row>
    <row r="34" ht="18" customHeight="1" spans="1:3">
      <c r="A34" s="155" t="s">
        <v>810</v>
      </c>
      <c r="B34" s="155" t="s">
        <v>801</v>
      </c>
      <c r="C34" s="156"/>
    </row>
    <row r="35" ht="18" customHeight="1" spans="1:3">
      <c r="A35" s="155" t="s">
        <v>811</v>
      </c>
      <c r="B35" s="155" t="s">
        <v>803</v>
      </c>
      <c r="C35" s="156"/>
    </row>
    <row r="36" ht="18" customHeight="1" spans="1:3">
      <c r="A36" s="157" t="s">
        <v>812</v>
      </c>
      <c r="B36" s="157" t="s">
        <v>813</v>
      </c>
      <c r="C36" s="158">
        <f>SUM(C37:C39)</f>
        <v>13881</v>
      </c>
    </row>
    <row r="37" ht="18" customHeight="1" spans="1:3">
      <c r="A37" s="155" t="s">
        <v>814</v>
      </c>
      <c r="B37" s="155" t="s">
        <v>815</v>
      </c>
      <c r="C37" s="156">
        <v>13608</v>
      </c>
    </row>
    <row r="38" ht="18" customHeight="1" spans="1:3">
      <c r="A38" s="155" t="s">
        <v>816</v>
      </c>
      <c r="B38" s="155" t="s">
        <v>817</v>
      </c>
      <c r="C38" s="156">
        <v>273</v>
      </c>
    </row>
    <row r="39" ht="18" customHeight="1" spans="1:3">
      <c r="A39" s="155" t="s">
        <v>818</v>
      </c>
      <c r="B39" s="155" t="s">
        <v>819</v>
      </c>
      <c r="C39" s="156"/>
    </row>
    <row r="40" ht="18" customHeight="1" spans="1:3">
      <c r="A40" s="157" t="s">
        <v>820</v>
      </c>
      <c r="B40" s="157" t="s">
        <v>821</v>
      </c>
      <c r="C40" s="158">
        <f>SUM(C41:C42)</f>
        <v>0</v>
      </c>
    </row>
    <row r="41" ht="18" customHeight="1" spans="1:3">
      <c r="A41" s="155" t="s">
        <v>822</v>
      </c>
      <c r="B41" s="155" t="s">
        <v>823</v>
      </c>
      <c r="C41" s="156"/>
    </row>
    <row r="42" ht="18" customHeight="1" spans="1:3">
      <c r="A42" s="155" t="s">
        <v>824</v>
      </c>
      <c r="B42" s="155" t="s">
        <v>825</v>
      </c>
      <c r="C42" s="156"/>
    </row>
    <row r="43" ht="18" customHeight="1" spans="1:3">
      <c r="A43" s="157" t="s">
        <v>826</v>
      </c>
      <c r="B43" s="157" t="s">
        <v>827</v>
      </c>
      <c r="C43" s="158">
        <f>SUM(C44:C46)</f>
        <v>0</v>
      </c>
    </row>
    <row r="44" ht="18" customHeight="1" spans="1:3">
      <c r="A44" s="155" t="s">
        <v>828</v>
      </c>
      <c r="B44" s="155" t="s">
        <v>829</v>
      </c>
      <c r="C44" s="156"/>
    </row>
    <row r="45" ht="18" customHeight="1" spans="1:3">
      <c r="A45" s="155" t="s">
        <v>830</v>
      </c>
      <c r="B45" s="155" t="s">
        <v>831</v>
      </c>
      <c r="C45" s="156"/>
    </row>
    <row r="46" ht="18" customHeight="1" spans="1:3">
      <c r="A46" s="155" t="s">
        <v>832</v>
      </c>
      <c r="B46" s="155" t="s">
        <v>833</v>
      </c>
      <c r="C46" s="156"/>
    </row>
    <row r="47" ht="18" customHeight="1" spans="1:3">
      <c r="A47" s="157" t="s">
        <v>834</v>
      </c>
      <c r="B47" s="157" t="s">
        <v>835</v>
      </c>
      <c r="C47" s="158">
        <f>SUM(C48:C52)</f>
        <v>1921</v>
      </c>
    </row>
    <row r="48" ht="18" customHeight="1" spans="1:3">
      <c r="A48" s="155" t="s">
        <v>836</v>
      </c>
      <c r="B48" s="155" t="s">
        <v>837</v>
      </c>
      <c r="C48" s="156">
        <v>990</v>
      </c>
    </row>
    <row r="49" ht="18" customHeight="1" spans="1:3">
      <c r="A49" s="155" t="s">
        <v>838</v>
      </c>
      <c r="B49" s="155" t="s">
        <v>839</v>
      </c>
      <c r="C49" s="156"/>
    </row>
    <row r="50" ht="18" customHeight="1" spans="1:3">
      <c r="A50" s="155" t="s">
        <v>840</v>
      </c>
      <c r="B50" s="155" t="s">
        <v>841</v>
      </c>
      <c r="C50" s="156"/>
    </row>
    <row r="51" ht="18" customHeight="1" spans="1:3">
      <c r="A51" s="155" t="s">
        <v>842</v>
      </c>
      <c r="B51" s="155" t="s">
        <v>843</v>
      </c>
      <c r="C51" s="156">
        <v>931</v>
      </c>
    </row>
    <row r="52" ht="18" customHeight="1" spans="1:3">
      <c r="A52" s="155" t="s">
        <v>844</v>
      </c>
      <c r="B52" s="155" t="s">
        <v>845</v>
      </c>
      <c r="C52" s="156"/>
    </row>
    <row r="53" ht="18" customHeight="1" spans="1:3">
      <c r="A53" s="157" t="s">
        <v>846</v>
      </c>
      <c r="B53" s="157" t="s">
        <v>847</v>
      </c>
      <c r="C53" s="158">
        <f>SUM(C54:C56)</f>
        <v>0</v>
      </c>
    </row>
    <row r="54" ht="18" customHeight="1" spans="1:3">
      <c r="A54" s="155" t="s">
        <v>848</v>
      </c>
      <c r="B54" s="155" t="s">
        <v>849</v>
      </c>
      <c r="C54" s="156"/>
    </row>
    <row r="55" ht="18" customHeight="1" spans="1:3">
      <c r="A55" s="155" t="s">
        <v>850</v>
      </c>
      <c r="B55" s="155" t="s">
        <v>851</v>
      </c>
      <c r="C55" s="156"/>
    </row>
    <row r="56" ht="18" customHeight="1" spans="1:3">
      <c r="A56" s="155" t="s">
        <v>852</v>
      </c>
      <c r="B56" s="155" t="s">
        <v>853</v>
      </c>
      <c r="C56" s="156"/>
    </row>
    <row r="57" ht="18" customHeight="1" spans="1:3">
      <c r="A57" s="157" t="s">
        <v>854</v>
      </c>
      <c r="B57" s="157" t="s">
        <v>855</v>
      </c>
      <c r="C57" s="158">
        <f>SUM(C58:C61)</f>
        <v>0</v>
      </c>
    </row>
    <row r="58" ht="18" customHeight="1" spans="1:3">
      <c r="A58" s="155" t="s">
        <v>856</v>
      </c>
      <c r="B58" s="155" t="s">
        <v>857</v>
      </c>
      <c r="C58" s="156"/>
    </row>
    <row r="59" ht="18" customHeight="1" spans="1:3">
      <c r="A59" s="155" t="s">
        <v>858</v>
      </c>
      <c r="B59" s="155" t="s">
        <v>859</v>
      </c>
      <c r="C59" s="156"/>
    </row>
    <row r="60" ht="18" customHeight="1" spans="1:3">
      <c r="A60" s="155" t="s">
        <v>860</v>
      </c>
      <c r="B60" s="155" t="s">
        <v>861</v>
      </c>
      <c r="C60" s="156"/>
    </row>
    <row r="61" ht="18" customHeight="1" spans="1:3">
      <c r="A61" s="155" t="s">
        <v>862</v>
      </c>
      <c r="B61" s="155" t="s">
        <v>863</v>
      </c>
      <c r="C61" s="156"/>
    </row>
    <row r="62" ht="18" customHeight="1" spans="1:3">
      <c r="A62" s="157" t="s">
        <v>864</v>
      </c>
      <c r="B62" s="157" t="s">
        <v>865</v>
      </c>
      <c r="C62" s="158">
        <f>SUM(C63:C64)</f>
        <v>0</v>
      </c>
    </row>
    <row r="63" ht="18" customHeight="1" spans="1:3">
      <c r="A63" s="155" t="s">
        <v>866</v>
      </c>
      <c r="B63" s="155" t="s">
        <v>867</v>
      </c>
      <c r="C63" s="156"/>
    </row>
    <row r="64" ht="18" customHeight="1" spans="1:3">
      <c r="A64" s="155" t="s">
        <v>868</v>
      </c>
      <c r="B64" s="155" t="s">
        <v>869</v>
      </c>
      <c r="C64" s="156"/>
    </row>
    <row r="65" ht="18" customHeight="1" spans="1:3">
      <c r="A65" s="159">
        <v>513</v>
      </c>
      <c r="B65" s="157" t="s">
        <v>736</v>
      </c>
      <c r="C65" s="158">
        <f>C66</f>
        <v>0</v>
      </c>
    </row>
    <row r="66" ht="18" customHeight="1" spans="1:3">
      <c r="A66" s="160">
        <v>51301</v>
      </c>
      <c r="B66" s="155" t="s">
        <v>870</v>
      </c>
      <c r="C66" s="156"/>
    </row>
    <row r="67" ht="18" customHeight="1" spans="1:3">
      <c r="A67" s="157" t="s">
        <v>871</v>
      </c>
      <c r="B67" s="157" t="s">
        <v>872</v>
      </c>
      <c r="C67" s="158">
        <f>SUM(C68:C69)</f>
        <v>0</v>
      </c>
    </row>
    <row r="68" ht="18" customHeight="1" spans="1:3">
      <c r="A68" s="155" t="s">
        <v>873</v>
      </c>
      <c r="B68" s="155" t="s">
        <v>874</v>
      </c>
      <c r="C68" s="156"/>
    </row>
    <row r="69" ht="18" customHeight="1" spans="1:3">
      <c r="A69" s="155" t="s">
        <v>875</v>
      </c>
      <c r="B69" s="155" t="s">
        <v>876</v>
      </c>
      <c r="C69" s="156"/>
    </row>
    <row r="70" ht="18" customHeight="1" spans="1:3">
      <c r="A70" s="157" t="s">
        <v>877</v>
      </c>
      <c r="B70" s="157" t="s">
        <v>878</v>
      </c>
      <c r="C70" s="158">
        <f>C5+C10+C21+C29+C36+C40+C43+C47+C53+C57+C62+C67</f>
        <v>25579</v>
      </c>
    </row>
  </sheetData>
  <mergeCells count="1">
    <mergeCell ref="A2:C2"/>
  </mergeCells>
  <printOptions horizontalCentered="1"/>
  <pageMargins left="0.751388888888889" right="0.751388888888889" top="0.786805555555556" bottom="1" header="0.747916666666667" footer="0.5"/>
  <pageSetup paperSize="9" fitToHeight="0" orientation="portrait" blackAndWhite="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L151"/>
  <sheetViews>
    <sheetView workbookViewId="0">
      <pane xSplit="1" ySplit="6" topLeftCell="B7" activePane="bottomRight" state="frozen"/>
      <selection/>
      <selection pane="topRight"/>
      <selection pane="bottomLeft"/>
      <selection pane="bottomRight" activeCell="F36" sqref="F36"/>
    </sheetView>
  </sheetViews>
  <sheetFormatPr defaultColWidth="9" defaultRowHeight="14.25"/>
  <cols>
    <col min="1" max="1" width="48.1083333333333" style="65" customWidth="1"/>
    <col min="2" max="2" width="9.21666666666667" style="65" customWidth="1"/>
    <col min="3" max="3" width="9.66666666666667" style="65" hidden="1" customWidth="1"/>
    <col min="4" max="4" width="11" style="65" customWidth="1"/>
    <col min="5" max="5" width="10.775" style="65" customWidth="1"/>
    <col min="6" max="6" width="11.8833333333333" style="65" customWidth="1"/>
    <col min="7" max="7" width="10.3333333333333" style="65" customWidth="1"/>
    <col min="8" max="8" width="8.21666666666667" style="65" customWidth="1"/>
    <col min="9" max="9" width="11.6666666666667" style="65" customWidth="1"/>
    <col min="10" max="10" width="10" style="123" customWidth="1"/>
    <col min="11" max="11" width="8.21666666666667" style="65" customWidth="1"/>
    <col min="12" max="12" width="5.44166666666667" style="65" customWidth="1"/>
    <col min="13" max="16384" width="9" style="65"/>
  </cols>
  <sheetData>
    <row r="1" spans="1:2">
      <c r="A1" s="24" t="s">
        <v>879</v>
      </c>
      <c r="B1" s="24"/>
    </row>
    <row r="2" ht="28.5" spans="1:12">
      <c r="A2" s="67" t="s">
        <v>880</v>
      </c>
      <c r="B2" s="67"/>
      <c r="C2" s="67"/>
      <c r="D2" s="67"/>
      <c r="E2" s="67"/>
      <c r="F2" s="67"/>
      <c r="G2" s="67"/>
      <c r="H2" s="67"/>
      <c r="I2" s="67"/>
      <c r="J2" s="67"/>
      <c r="K2" s="67"/>
      <c r="L2" s="67"/>
    </row>
    <row r="3" spans="5:12">
      <c r="E3" s="124"/>
      <c r="J3" s="65"/>
      <c r="K3" s="138" t="s">
        <v>2</v>
      </c>
      <c r="L3" s="138"/>
    </row>
    <row r="4" s="58" customFormat="1" ht="13.5" spans="1:12">
      <c r="A4" s="53" t="s">
        <v>881</v>
      </c>
      <c r="B4" s="53"/>
      <c r="C4" s="53" t="s">
        <v>4</v>
      </c>
      <c r="D4" s="53"/>
      <c r="E4" s="53"/>
      <c r="F4" s="53"/>
      <c r="G4" s="53"/>
      <c r="H4" s="53"/>
      <c r="I4" s="69" t="s">
        <v>5</v>
      </c>
      <c r="J4" s="69"/>
      <c r="K4" s="69"/>
      <c r="L4" s="53" t="s">
        <v>6</v>
      </c>
    </row>
    <row r="5" s="58" customFormat="1" ht="13.5" spans="1:12">
      <c r="A5" s="53"/>
      <c r="B5" s="52" t="s">
        <v>132</v>
      </c>
      <c r="C5" s="30" t="s">
        <v>8</v>
      </c>
      <c r="D5" s="53" t="s">
        <v>9</v>
      </c>
      <c r="E5" s="32" t="s">
        <v>10</v>
      </c>
      <c r="F5" s="69" t="s">
        <v>882</v>
      </c>
      <c r="G5" s="69" t="s">
        <v>12</v>
      </c>
      <c r="H5" s="69"/>
      <c r="I5" s="69" t="s">
        <v>13</v>
      </c>
      <c r="J5" s="69" t="s">
        <v>14</v>
      </c>
      <c r="K5" s="69"/>
      <c r="L5" s="53"/>
    </row>
    <row r="6" s="58" customFormat="1" ht="13.5" spans="1:12">
      <c r="A6" s="53"/>
      <c r="B6" s="52"/>
      <c r="C6" s="35"/>
      <c r="D6" s="53"/>
      <c r="E6" s="36"/>
      <c r="F6" s="69"/>
      <c r="G6" s="53" t="s">
        <v>15</v>
      </c>
      <c r="H6" s="53" t="s">
        <v>16</v>
      </c>
      <c r="I6" s="69"/>
      <c r="J6" s="69" t="s">
        <v>15</v>
      </c>
      <c r="K6" s="69" t="s">
        <v>16</v>
      </c>
      <c r="L6" s="53"/>
    </row>
    <row r="7" s="60" customFormat="1" spans="1:12">
      <c r="A7" s="125" t="s">
        <v>883</v>
      </c>
      <c r="B7" s="125"/>
      <c r="C7" s="126"/>
      <c r="D7" s="126"/>
      <c r="E7" s="127" t="str">
        <f t="shared" ref="E7:E10" si="0">IF(C7=0,"",D7/C7*100)</f>
        <v/>
      </c>
      <c r="F7" s="126"/>
      <c r="G7" s="128">
        <f t="shared" ref="G7:G23" si="1">D7-F7</f>
        <v>0</v>
      </c>
      <c r="H7" s="127">
        <f t="shared" ref="H7:H23" si="2">IF(F7=0,,G7/F7*100)</f>
        <v>0</v>
      </c>
      <c r="I7" s="126"/>
      <c r="J7" s="128">
        <f t="shared" ref="J7:J10" si="3">I7-D7</f>
        <v>0</v>
      </c>
      <c r="K7" s="127" t="str">
        <f t="shared" ref="K7:K10" si="4">IF(D7=0,"",J7/D7*100)</f>
        <v/>
      </c>
      <c r="L7" s="139"/>
    </row>
    <row r="8" s="60" customFormat="1" spans="1:12">
      <c r="A8" s="125" t="s">
        <v>884</v>
      </c>
      <c r="B8" s="125"/>
      <c r="C8" s="126"/>
      <c r="D8" s="126"/>
      <c r="E8" s="127" t="str">
        <f t="shared" si="0"/>
        <v/>
      </c>
      <c r="F8" s="126"/>
      <c r="G8" s="128">
        <f t="shared" si="1"/>
        <v>0</v>
      </c>
      <c r="H8" s="127">
        <f t="shared" si="2"/>
        <v>0</v>
      </c>
      <c r="I8" s="126"/>
      <c r="J8" s="128">
        <f t="shared" si="3"/>
        <v>0</v>
      </c>
      <c r="K8" s="127" t="str">
        <f t="shared" si="4"/>
        <v/>
      </c>
      <c r="L8" s="139"/>
    </row>
    <row r="9" s="60" customFormat="1" spans="1:12">
      <c r="A9" s="125" t="s">
        <v>885</v>
      </c>
      <c r="B9" s="125"/>
      <c r="C9" s="126"/>
      <c r="D9" s="126"/>
      <c r="E9" s="127" t="str">
        <f t="shared" si="0"/>
        <v/>
      </c>
      <c r="F9" s="126"/>
      <c r="G9" s="128">
        <f t="shared" si="1"/>
        <v>0</v>
      </c>
      <c r="H9" s="127">
        <f t="shared" si="2"/>
        <v>0</v>
      </c>
      <c r="I9" s="126"/>
      <c r="J9" s="128">
        <f t="shared" si="3"/>
        <v>0</v>
      </c>
      <c r="K9" s="127" t="str">
        <f t="shared" si="4"/>
        <v/>
      </c>
      <c r="L9" s="140"/>
    </row>
    <row r="10" s="60" customFormat="1" spans="1:12">
      <c r="A10" s="125" t="s">
        <v>886</v>
      </c>
      <c r="B10" s="125"/>
      <c r="C10" s="126"/>
      <c r="D10" s="126"/>
      <c r="E10" s="127" t="str">
        <f t="shared" si="0"/>
        <v/>
      </c>
      <c r="F10" s="126"/>
      <c r="G10" s="128">
        <f t="shared" si="1"/>
        <v>0</v>
      </c>
      <c r="H10" s="127">
        <f t="shared" si="2"/>
        <v>0</v>
      </c>
      <c r="I10" s="126"/>
      <c r="J10" s="128">
        <f t="shared" si="3"/>
        <v>0</v>
      </c>
      <c r="K10" s="127" t="str">
        <f t="shared" si="4"/>
        <v/>
      </c>
      <c r="L10" s="139"/>
    </row>
    <row r="11" s="60" customFormat="1" spans="1:12">
      <c r="A11" s="42" t="s">
        <v>887</v>
      </c>
      <c r="B11" s="42"/>
      <c r="C11" s="126"/>
      <c r="D11" s="126"/>
      <c r="E11" s="127"/>
      <c r="F11" s="126"/>
      <c r="G11" s="128">
        <f t="shared" si="1"/>
        <v>0</v>
      </c>
      <c r="H11" s="127">
        <f t="shared" si="2"/>
        <v>0</v>
      </c>
      <c r="I11" s="126"/>
      <c r="J11" s="128">
        <v>0</v>
      </c>
      <c r="K11" s="127"/>
      <c r="L11" s="139"/>
    </row>
    <row r="12" s="60" customFormat="1" spans="1:12">
      <c r="A12" s="125" t="s">
        <v>888</v>
      </c>
      <c r="B12" s="125"/>
      <c r="C12" s="126"/>
      <c r="D12" s="126"/>
      <c r="E12" s="127" t="str">
        <f t="shared" ref="E12:E20" si="5">IF(C12=0,"",D12/C12*100)</f>
        <v/>
      </c>
      <c r="F12" s="126"/>
      <c r="G12" s="128">
        <f t="shared" si="1"/>
        <v>0</v>
      </c>
      <c r="H12" s="127">
        <f t="shared" si="2"/>
        <v>0</v>
      </c>
      <c r="I12" s="126"/>
      <c r="J12" s="128">
        <f t="shared" ref="J12:J21" si="6">I12-D12</f>
        <v>0</v>
      </c>
      <c r="K12" s="127" t="str">
        <f t="shared" ref="K12:K21" si="7">IF(D12=0,"",J12/D12*100)</f>
        <v/>
      </c>
      <c r="L12" s="139"/>
    </row>
    <row r="13" s="60" customFormat="1" spans="1:12">
      <c r="A13" s="125" t="s">
        <v>889</v>
      </c>
      <c r="B13" s="125"/>
      <c r="C13" s="126"/>
      <c r="D13" s="126"/>
      <c r="E13" s="127" t="str">
        <f t="shared" si="5"/>
        <v/>
      </c>
      <c r="F13" s="126"/>
      <c r="G13" s="128">
        <f t="shared" si="1"/>
        <v>0</v>
      </c>
      <c r="H13" s="127">
        <f t="shared" si="2"/>
        <v>0</v>
      </c>
      <c r="I13" s="126"/>
      <c r="J13" s="128">
        <f t="shared" si="6"/>
        <v>0</v>
      </c>
      <c r="K13" s="127" t="str">
        <f t="shared" si="7"/>
        <v/>
      </c>
      <c r="L13" s="139"/>
    </row>
    <row r="14" spans="1:12">
      <c r="A14" s="125" t="s">
        <v>890</v>
      </c>
      <c r="B14" s="125"/>
      <c r="C14" s="126"/>
      <c r="D14" s="126"/>
      <c r="E14" s="127" t="str">
        <f t="shared" si="5"/>
        <v/>
      </c>
      <c r="F14" s="126"/>
      <c r="G14" s="128">
        <f t="shared" si="1"/>
        <v>0</v>
      </c>
      <c r="H14" s="127">
        <f t="shared" si="2"/>
        <v>0</v>
      </c>
      <c r="I14" s="126"/>
      <c r="J14" s="128">
        <f t="shared" si="6"/>
        <v>0</v>
      </c>
      <c r="K14" s="127" t="str">
        <f t="shared" si="7"/>
        <v/>
      </c>
      <c r="L14" s="139"/>
    </row>
    <row r="15" spans="1:12">
      <c r="A15" s="125" t="s">
        <v>891</v>
      </c>
      <c r="B15" s="125"/>
      <c r="C15" s="126"/>
      <c r="D15" s="126"/>
      <c r="E15" s="127" t="str">
        <f t="shared" si="5"/>
        <v/>
      </c>
      <c r="F15" s="126"/>
      <c r="G15" s="128">
        <f t="shared" si="1"/>
        <v>0</v>
      </c>
      <c r="H15" s="127">
        <f t="shared" si="2"/>
        <v>0</v>
      </c>
      <c r="I15" s="126"/>
      <c r="J15" s="128">
        <f t="shared" si="6"/>
        <v>0</v>
      </c>
      <c r="K15" s="127" t="str">
        <f t="shared" si="7"/>
        <v/>
      </c>
      <c r="L15" s="139"/>
    </row>
    <row r="16" spans="1:12">
      <c r="A16" s="125" t="s">
        <v>892</v>
      </c>
      <c r="B16" s="125"/>
      <c r="C16" s="126"/>
      <c r="D16" s="126"/>
      <c r="E16" s="127" t="str">
        <f t="shared" si="5"/>
        <v/>
      </c>
      <c r="F16" s="126"/>
      <c r="G16" s="128">
        <f t="shared" si="1"/>
        <v>0</v>
      </c>
      <c r="H16" s="127">
        <f t="shared" si="2"/>
        <v>0</v>
      </c>
      <c r="I16" s="126"/>
      <c r="J16" s="128">
        <f t="shared" si="6"/>
        <v>0</v>
      </c>
      <c r="K16" s="127" t="str">
        <f t="shared" si="7"/>
        <v/>
      </c>
      <c r="L16" s="139"/>
    </row>
    <row r="17" spans="1:12">
      <c r="A17" s="125" t="s">
        <v>893</v>
      </c>
      <c r="B17" s="125"/>
      <c r="C17" s="126"/>
      <c r="D17" s="126"/>
      <c r="E17" s="127" t="str">
        <f t="shared" si="5"/>
        <v/>
      </c>
      <c r="F17" s="126"/>
      <c r="G17" s="128">
        <f t="shared" si="1"/>
        <v>0</v>
      </c>
      <c r="H17" s="127">
        <f t="shared" si="2"/>
        <v>0</v>
      </c>
      <c r="I17" s="126"/>
      <c r="J17" s="128">
        <f t="shared" si="6"/>
        <v>0</v>
      </c>
      <c r="K17" s="127" t="str">
        <f t="shared" si="7"/>
        <v/>
      </c>
      <c r="L17" s="139"/>
    </row>
    <row r="18" spans="1:12">
      <c r="A18" s="125" t="s">
        <v>894</v>
      </c>
      <c r="B18" s="125"/>
      <c r="C18" s="126"/>
      <c r="D18" s="126"/>
      <c r="E18" s="127" t="str">
        <f t="shared" si="5"/>
        <v/>
      </c>
      <c r="F18" s="126"/>
      <c r="G18" s="128">
        <f t="shared" si="1"/>
        <v>0</v>
      </c>
      <c r="H18" s="127">
        <f t="shared" si="2"/>
        <v>0</v>
      </c>
      <c r="I18" s="126"/>
      <c r="J18" s="128">
        <f t="shared" si="6"/>
        <v>0</v>
      </c>
      <c r="K18" s="127" t="str">
        <f t="shared" si="7"/>
        <v/>
      </c>
      <c r="L18" s="139"/>
    </row>
    <row r="19" s="60" customFormat="1" spans="1:12">
      <c r="A19" s="125" t="s">
        <v>895</v>
      </c>
      <c r="B19" s="125"/>
      <c r="C19" s="126"/>
      <c r="D19" s="126"/>
      <c r="E19" s="127" t="str">
        <f t="shared" si="5"/>
        <v/>
      </c>
      <c r="F19" s="126"/>
      <c r="G19" s="128">
        <f t="shared" si="1"/>
        <v>0</v>
      </c>
      <c r="H19" s="127">
        <f t="shared" si="2"/>
        <v>0</v>
      </c>
      <c r="I19" s="126"/>
      <c r="J19" s="128">
        <f t="shared" si="6"/>
        <v>0</v>
      </c>
      <c r="K19" s="127" t="str">
        <f t="shared" si="7"/>
        <v/>
      </c>
      <c r="L19" s="139"/>
    </row>
    <row r="20" s="60" customFormat="1" spans="1:12">
      <c r="A20" s="125" t="s">
        <v>896</v>
      </c>
      <c r="B20" s="125"/>
      <c r="C20" s="126"/>
      <c r="D20" s="126"/>
      <c r="E20" s="127" t="str">
        <f t="shared" si="5"/>
        <v/>
      </c>
      <c r="F20" s="126"/>
      <c r="G20" s="128">
        <f t="shared" si="1"/>
        <v>0</v>
      </c>
      <c r="H20" s="127">
        <f t="shared" si="2"/>
        <v>0</v>
      </c>
      <c r="I20" s="126"/>
      <c r="J20" s="128">
        <f t="shared" si="6"/>
        <v>0</v>
      </c>
      <c r="K20" s="127" t="str">
        <f t="shared" si="7"/>
        <v/>
      </c>
      <c r="L20" s="139"/>
    </row>
    <row r="21" spans="1:12">
      <c r="A21" s="125" t="s">
        <v>897</v>
      </c>
      <c r="B21" s="126">
        <f>B22</f>
        <v>3110</v>
      </c>
      <c r="C21" s="126">
        <f>C22</f>
        <v>2965</v>
      </c>
      <c r="D21" s="126">
        <v>800</v>
      </c>
      <c r="E21" s="129">
        <f>D21/B21</f>
        <v>0.257234726688103</v>
      </c>
      <c r="F21" s="126">
        <v>0</v>
      </c>
      <c r="G21" s="128">
        <f t="shared" si="1"/>
        <v>800</v>
      </c>
      <c r="H21" s="127">
        <f t="shared" si="2"/>
        <v>0</v>
      </c>
      <c r="I21" s="126">
        <v>3577</v>
      </c>
      <c r="J21" s="128">
        <f t="shared" si="6"/>
        <v>2777</v>
      </c>
      <c r="K21" s="127">
        <f t="shared" si="7"/>
        <v>347.125</v>
      </c>
      <c r="L21" s="139"/>
    </row>
    <row r="22" s="24" customFormat="1" ht="27" spans="1:12">
      <c r="A22" s="42" t="s">
        <v>898</v>
      </c>
      <c r="B22" s="126">
        <v>3110</v>
      </c>
      <c r="C22" s="126">
        <v>2965</v>
      </c>
      <c r="D22" s="126"/>
      <c r="E22" s="129"/>
      <c r="F22" s="126">
        <v>0</v>
      </c>
      <c r="G22" s="128">
        <f t="shared" si="1"/>
        <v>0</v>
      </c>
      <c r="H22" s="127">
        <f t="shared" si="2"/>
        <v>0</v>
      </c>
      <c r="I22" s="126">
        <v>3577</v>
      </c>
      <c r="J22" s="128">
        <v>0</v>
      </c>
      <c r="K22" s="127"/>
      <c r="L22" s="139"/>
    </row>
    <row r="23" spans="1:12">
      <c r="A23" s="130" t="s">
        <v>899</v>
      </c>
      <c r="B23" s="131">
        <f>SUM(B7:B21)</f>
        <v>3110</v>
      </c>
      <c r="C23" s="131">
        <f>SUM(C7:C21)</f>
        <v>2965</v>
      </c>
      <c r="D23" s="131">
        <f>SUM(D7:D21)-D11</f>
        <v>800</v>
      </c>
      <c r="E23" s="129">
        <f>D23/B23</f>
        <v>0.257234726688103</v>
      </c>
      <c r="F23" s="131">
        <f>SUM(F7:F21)-F11</f>
        <v>0</v>
      </c>
      <c r="G23" s="132">
        <f t="shared" si="1"/>
        <v>800</v>
      </c>
      <c r="H23" s="133">
        <f t="shared" si="2"/>
        <v>0</v>
      </c>
      <c r="I23" s="131">
        <f>SUM(I7:I21)</f>
        <v>3577</v>
      </c>
      <c r="J23" s="141">
        <f>I23-D23</f>
        <v>2777</v>
      </c>
      <c r="K23" s="142">
        <f>IF(D23=0,"",J23/D23*100)</f>
        <v>347.125</v>
      </c>
      <c r="L23" s="143"/>
    </row>
    <row r="24" spans="1:12">
      <c r="A24" s="130" t="s">
        <v>43</v>
      </c>
      <c r="B24" s="131">
        <f>SUM(B25:B28)</f>
        <v>7895</v>
      </c>
      <c r="C24" s="131">
        <f>SUM(C25:C28)</f>
        <v>4450</v>
      </c>
      <c r="D24" s="131">
        <f>SUM(D25:D28)</f>
        <v>29816</v>
      </c>
      <c r="E24" s="134"/>
      <c r="F24" s="131">
        <f>SUM(F25:F28)</f>
        <v>9287</v>
      </c>
      <c r="G24" s="131"/>
      <c r="H24" s="131"/>
      <c r="I24" s="131">
        <f>SUM(I25:I28)</f>
        <v>11868</v>
      </c>
      <c r="J24" s="141"/>
      <c r="K24" s="142"/>
      <c r="L24" s="143"/>
    </row>
    <row r="25" s="60" customFormat="1" spans="1:12">
      <c r="A25" s="135" t="s">
        <v>900</v>
      </c>
      <c r="B25" s="126">
        <v>43</v>
      </c>
      <c r="C25" s="126">
        <v>76</v>
      </c>
      <c r="D25" s="126">
        <v>715</v>
      </c>
      <c r="E25" s="136"/>
      <c r="F25" s="126">
        <v>305</v>
      </c>
      <c r="G25" s="102"/>
      <c r="H25" s="137"/>
      <c r="I25" s="126">
        <f>51+397</f>
        <v>448</v>
      </c>
      <c r="J25" s="128"/>
      <c r="K25" s="127"/>
      <c r="L25" s="139"/>
    </row>
    <row r="26" spans="1:12">
      <c r="A26" s="135" t="s">
        <v>901</v>
      </c>
      <c r="B26" s="126">
        <v>7852</v>
      </c>
      <c r="C26" s="126">
        <v>4374</v>
      </c>
      <c r="D26" s="126">
        <v>7847</v>
      </c>
      <c r="E26" s="136"/>
      <c r="F26" s="126">
        <v>4374</v>
      </c>
      <c r="G26" s="102"/>
      <c r="H26" s="137"/>
      <c r="I26" s="126">
        <v>11420</v>
      </c>
      <c r="J26" s="128"/>
      <c r="K26" s="127"/>
      <c r="L26" s="139"/>
    </row>
    <row r="27" spans="1:12">
      <c r="A27" s="135" t="s">
        <v>902</v>
      </c>
      <c r="B27" s="126"/>
      <c r="C27" s="126"/>
      <c r="D27" s="126"/>
      <c r="E27" s="136"/>
      <c r="F27" s="126"/>
      <c r="G27" s="102"/>
      <c r="H27" s="137"/>
      <c r="I27" s="126"/>
      <c r="J27" s="128"/>
      <c r="K27" s="127"/>
      <c r="L27" s="139"/>
    </row>
    <row r="28" spans="1:12">
      <c r="A28" s="135" t="s">
        <v>903</v>
      </c>
      <c r="B28" s="126"/>
      <c r="C28" s="126"/>
      <c r="D28" s="126">
        <f>D29+D30</f>
        <v>21254</v>
      </c>
      <c r="E28" s="126"/>
      <c r="F28" s="126">
        <f>F29+F30</f>
        <v>4608</v>
      </c>
      <c r="G28" s="102"/>
      <c r="H28" s="137"/>
      <c r="I28" s="126">
        <v>0</v>
      </c>
      <c r="J28" s="128"/>
      <c r="K28" s="127"/>
      <c r="L28" s="139"/>
    </row>
    <row r="29" spans="1:12">
      <c r="A29" s="135" t="s">
        <v>904</v>
      </c>
      <c r="B29" s="126"/>
      <c r="C29" s="126"/>
      <c r="D29" s="126">
        <v>17000</v>
      </c>
      <c r="E29" s="136"/>
      <c r="F29" s="126"/>
      <c r="G29" s="102"/>
      <c r="H29" s="137"/>
      <c r="I29" s="126"/>
      <c r="J29" s="128"/>
      <c r="K29" s="127"/>
      <c r="L29" s="139"/>
    </row>
    <row r="30" spans="1:12">
      <c r="A30" s="135" t="s">
        <v>905</v>
      </c>
      <c r="B30" s="126"/>
      <c r="C30" s="126"/>
      <c r="D30" s="126">
        <v>4254</v>
      </c>
      <c r="E30" s="136"/>
      <c r="F30" s="126">
        <v>4608</v>
      </c>
      <c r="G30" s="102"/>
      <c r="H30" s="137"/>
      <c r="I30" s="126"/>
      <c r="J30" s="128"/>
      <c r="K30" s="127"/>
      <c r="L30" s="139"/>
    </row>
    <row r="31" spans="1:12">
      <c r="A31" s="130" t="s">
        <v>119</v>
      </c>
      <c r="B31" s="131">
        <f>SUM(B23,B24)</f>
        <v>11005</v>
      </c>
      <c r="C31" s="131">
        <f>SUM(C23,C24)</f>
        <v>7415</v>
      </c>
      <c r="D31" s="131">
        <f>SUM(D23,D24)</f>
        <v>30616</v>
      </c>
      <c r="E31" s="134"/>
      <c r="F31" s="131">
        <f>SUM(F23,F24)</f>
        <v>9287</v>
      </c>
      <c r="G31" s="131"/>
      <c r="H31" s="131"/>
      <c r="I31" s="131">
        <f>SUM(I23,I24)</f>
        <v>15445</v>
      </c>
      <c r="J31" s="141"/>
      <c r="K31" s="142"/>
      <c r="L31" s="143"/>
    </row>
    <row r="32" hidden="1" spans="2:4">
      <c r="B32" s="65" t="s">
        <v>906</v>
      </c>
      <c r="D32" s="65">
        <v>21606</v>
      </c>
    </row>
    <row r="33" hidden="1" spans="2:4">
      <c r="B33" s="65" t="s">
        <v>124</v>
      </c>
      <c r="D33" s="65">
        <f>D31-D32</f>
        <v>9010</v>
      </c>
    </row>
    <row r="151" ht="13.5" spans="1:2">
      <c r="A151" s="58"/>
      <c r="B151" s="58"/>
    </row>
  </sheetData>
  <mergeCells count="14">
    <mergeCell ref="A2:L2"/>
    <mergeCell ref="K3:L3"/>
    <mergeCell ref="C4:H4"/>
    <mergeCell ref="I4:K4"/>
    <mergeCell ref="G5:H5"/>
    <mergeCell ref="J5:K5"/>
    <mergeCell ref="A4:A6"/>
    <mergeCell ref="B5:B6"/>
    <mergeCell ref="C5:C6"/>
    <mergeCell ref="D5:D6"/>
    <mergeCell ref="E5:E6"/>
    <mergeCell ref="F5:F6"/>
    <mergeCell ref="I5:I6"/>
    <mergeCell ref="L4:L6"/>
  </mergeCells>
  <pageMargins left="0.751388888888889" right="0.751388888888889" top="0.747916666666667" bottom="0.865972222222222" header="0.275" footer="0.314583333333333"/>
  <pageSetup paperSize="9" scale="9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N109"/>
  <sheetViews>
    <sheetView workbookViewId="0">
      <pane xSplit="3" ySplit="6" topLeftCell="D28" activePane="bottomRight" state="frozen"/>
      <selection/>
      <selection pane="topRight"/>
      <selection pane="bottomLeft"/>
      <selection pane="bottomRight" activeCell="P98" sqref="P98"/>
    </sheetView>
  </sheetViews>
  <sheetFormatPr defaultColWidth="9" defaultRowHeight="14.25"/>
  <cols>
    <col min="1" max="1" width="7.33333333333333" style="62" customWidth="1"/>
    <col min="2" max="2" width="8.21666666666667" style="63" customWidth="1"/>
    <col min="3" max="3" width="55.1083333333333" style="64" customWidth="1"/>
    <col min="4" max="4" width="9.66666666666667" style="64" customWidth="1"/>
    <col min="5" max="5" width="9.21666666666667" style="65" hidden="1" customWidth="1"/>
    <col min="6" max="6" width="9.21666666666667" style="65" customWidth="1"/>
    <col min="7" max="7" width="11.6666666666667" style="66" customWidth="1"/>
    <col min="8" max="9" width="9.21666666666667" style="65" customWidth="1"/>
    <col min="10" max="10" width="11.4416666666667" style="66" customWidth="1"/>
    <col min="11" max="11" width="9.21666666666667" style="65" customWidth="1"/>
    <col min="12" max="12" width="9.33333333333333" style="65" customWidth="1"/>
    <col min="13" max="13" width="9.44166666666667" style="66" customWidth="1"/>
    <col min="14" max="14" width="10.8833333333333" style="65" customWidth="1"/>
    <col min="15" max="16384" width="9" style="65"/>
  </cols>
  <sheetData>
    <row r="1" spans="1:1">
      <c r="A1" s="63" t="s">
        <v>907</v>
      </c>
    </row>
    <row r="2" ht="28.5" spans="3:14">
      <c r="C2" s="67" t="s">
        <v>908</v>
      </c>
      <c r="D2" s="67"/>
      <c r="E2" s="67"/>
      <c r="F2" s="67"/>
      <c r="G2" s="68"/>
      <c r="H2" s="67"/>
      <c r="I2" s="67"/>
      <c r="J2" s="68"/>
      <c r="K2" s="67"/>
      <c r="L2" s="67"/>
      <c r="M2" s="68"/>
      <c r="N2" s="67"/>
    </row>
    <row r="3" spans="13:14">
      <c r="M3" s="95"/>
      <c r="N3" s="96" t="s">
        <v>2</v>
      </c>
    </row>
    <row r="4" s="58" customFormat="1" ht="13.5" spans="1:14">
      <c r="A4" s="33" t="s">
        <v>127</v>
      </c>
      <c r="B4" s="33" t="s">
        <v>128</v>
      </c>
      <c r="C4" s="69" t="s">
        <v>3</v>
      </c>
      <c r="D4" s="69"/>
      <c r="E4" s="53" t="s">
        <v>4</v>
      </c>
      <c r="F4" s="53"/>
      <c r="G4" s="70"/>
      <c r="H4" s="53"/>
      <c r="I4" s="53"/>
      <c r="J4" s="70"/>
      <c r="K4" s="53" t="s">
        <v>5</v>
      </c>
      <c r="L4" s="53"/>
      <c r="M4" s="70"/>
      <c r="N4" s="69" t="s">
        <v>6</v>
      </c>
    </row>
    <row r="5" s="58" customFormat="1" ht="13.5" spans="1:14">
      <c r="A5" s="33"/>
      <c r="B5" s="33"/>
      <c r="C5" s="69"/>
      <c r="D5" s="52" t="s">
        <v>132</v>
      </c>
      <c r="E5" s="30" t="s">
        <v>8</v>
      </c>
      <c r="F5" s="53" t="s">
        <v>9</v>
      </c>
      <c r="G5" s="71" t="s">
        <v>10</v>
      </c>
      <c r="H5" s="69" t="s">
        <v>11</v>
      </c>
      <c r="I5" s="53" t="s">
        <v>12</v>
      </c>
      <c r="J5" s="70"/>
      <c r="K5" s="53" t="s">
        <v>13</v>
      </c>
      <c r="L5" s="69" t="s">
        <v>909</v>
      </c>
      <c r="M5" s="97"/>
      <c r="N5" s="69"/>
    </row>
    <row r="6" s="58" customFormat="1" ht="13.5" spans="1:14">
      <c r="A6" s="33"/>
      <c r="B6" s="33"/>
      <c r="C6" s="69"/>
      <c r="D6" s="52"/>
      <c r="E6" s="35"/>
      <c r="F6" s="53"/>
      <c r="G6" s="72"/>
      <c r="H6" s="69"/>
      <c r="I6" s="53" t="s">
        <v>15</v>
      </c>
      <c r="J6" s="70" t="s">
        <v>16</v>
      </c>
      <c r="K6" s="53"/>
      <c r="L6" s="53" t="s">
        <v>15</v>
      </c>
      <c r="M6" s="70" t="s">
        <v>16</v>
      </c>
      <c r="N6" s="69"/>
    </row>
    <row r="7" s="59" customFormat="1" ht="13.5" spans="1:14">
      <c r="A7" s="73" t="s">
        <v>134</v>
      </c>
      <c r="B7" s="74">
        <v>206</v>
      </c>
      <c r="C7" s="75" t="s">
        <v>910</v>
      </c>
      <c r="D7" s="76"/>
      <c r="E7" s="76"/>
      <c r="F7" s="76"/>
      <c r="G7" s="77"/>
      <c r="H7" s="76"/>
      <c r="I7" s="98"/>
      <c r="J7" s="77"/>
      <c r="K7" s="76"/>
      <c r="L7" s="98"/>
      <c r="M7" s="77"/>
      <c r="N7" s="99"/>
    </row>
    <row r="8" s="58" customFormat="1" ht="13.5" spans="1:14">
      <c r="A8" s="78" t="s">
        <v>136</v>
      </c>
      <c r="B8" s="79">
        <v>20610</v>
      </c>
      <c r="C8" s="80" t="s">
        <v>911</v>
      </c>
      <c r="D8" s="81"/>
      <c r="E8" s="81"/>
      <c r="F8" s="81"/>
      <c r="G8" s="82"/>
      <c r="H8" s="81"/>
      <c r="I8" s="100"/>
      <c r="J8" s="82"/>
      <c r="K8" s="81"/>
      <c r="L8" s="100"/>
      <c r="M8" s="82"/>
      <c r="N8" s="101"/>
    </row>
    <row r="9" s="59" customFormat="1" ht="13.5" spans="1:14">
      <c r="A9" s="73" t="s">
        <v>134</v>
      </c>
      <c r="B9" s="74">
        <v>207</v>
      </c>
      <c r="C9" s="75" t="s">
        <v>912</v>
      </c>
      <c r="D9" s="76">
        <f>SUM(D10,D12,D15)</f>
        <v>7</v>
      </c>
      <c r="E9" s="76">
        <f>SUM(E10,E12,E15)</f>
        <v>7</v>
      </c>
      <c r="F9" s="76"/>
      <c r="G9" s="77"/>
      <c r="H9" s="76"/>
      <c r="I9" s="98"/>
      <c r="J9" s="77"/>
      <c r="K9" s="76">
        <f>SUM(K10,K12,K15)</f>
        <v>7</v>
      </c>
      <c r="L9" s="98"/>
      <c r="M9" s="77"/>
      <c r="N9" s="99"/>
    </row>
    <row r="10" s="58" customFormat="1" ht="13.5" spans="1:14">
      <c r="A10" s="78" t="s">
        <v>136</v>
      </c>
      <c r="B10" s="79">
        <v>20707</v>
      </c>
      <c r="C10" s="80" t="s">
        <v>913</v>
      </c>
      <c r="D10" s="81">
        <f t="shared" ref="D10:E10" si="0">SUM(D11:D11)</f>
        <v>7</v>
      </c>
      <c r="E10" s="81">
        <f t="shared" si="0"/>
        <v>7</v>
      </c>
      <c r="F10" s="81"/>
      <c r="G10" s="81"/>
      <c r="H10" s="81"/>
      <c r="I10" s="100"/>
      <c r="J10" s="82"/>
      <c r="K10" s="81">
        <f>SUM(K11:K11)</f>
        <v>7</v>
      </c>
      <c r="L10" s="100"/>
      <c r="M10" s="82"/>
      <c r="N10" s="101"/>
    </row>
    <row r="11" s="58" customFormat="1" ht="13.5" spans="1:14">
      <c r="A11" s="83" t="s">
        <v>138</v>
      </c>
      <c r="B11" s="84">
        <v>2070799</v>
      </c>
      <c r="C11" s="85" t="s">
        <v>914</v>
      </c>
      <c r="D11" s="86">
        <v>7</v>
      </c>
      <c r="E11" s="86">
        <v>7</v>
      </c>
      <c r="F11" s="86"/>
      <c r="G11" s="86"/>
      <c r="H11" s="86"/>
      <c r="I11" s="102"/>
      <c r="J11" s="87"/>
      <c r="K11" s="86">
        <v>7</v>
      </c>
      <c r="L11" s="102"/>
      <c r="M11" s="87"/>
      <c r="N11" s="103"/>
    </row>
    <row r="12" s="58" customFormat="1" ht="13.5" spans="1:14">
      <c r="A12" s="78" t="s">
        <v>136</v>
      </c>
      <c r="B12" s="79">
        <v>20709</v>
      </c>
      <c r="C12" s="80" t="s">
        <v>915</v>
      </c>
      <c r="D12" s="81"/>
      <c r="E12" s="81">
        <f>SUM(E13:E14)</f>
        <v>0</v>
      </c>
      <c r="F12" s="81"/>
      <c r="G12" s="82"/>
      <c r="H12" s="81"/>
      <c r="I12" s="100"/>
      <c r="J12" s="82"/>
      <c r="K12" s="81"/>
      <c r="L12" s="100"/>
      <c r="M12" s="82"/>
      <c r="N12" s="101"/>
    </row>
    <row r="13" s="58" customFormat="1" ht="13.5" spans="1:14">
      <c r="A13" s="83" t="s">
        <v>138</v>
      </c>
      <c r="B13" s="84">
        <v>2070904</v>
      </c>
      <c r="C13" s="85" t="s">
        <v>916</v>
      </c>
      <c r="D13" s="86"/>
      <c r="E13" s="86"/>
      <c r="F13" s="86"/>
      <c r="G13" s="87"/>
      <c r="H13" s="86"/>
      <c r="I13" s="102"/>
      <c r="J13" s="87"/>
      <c r="K13" s="86"/>
      <c r="L13" s="102"/>
      <c r="M13" s="87"/>
      <c r="N13" s="103"/>
    </row>
    <row r="14" s="58" customFormat="1" ht="13.5" spans="1:14">
      <c r="A14" s="83" t="s">
        <v>138</v>
      </c>
      <c r="B14" s="84">
        <v>2070999</v>
      </c>
      <c r="C14" s="85" t="s">
        <v>917</v>
      </c>
      <c r="D14" s="86"/>
      <c r="E14" s="86"/>
      <c r="F14" s="86"/>
      <c r="G14" s="87"/>
      <c r="H14" s="86"/>
      <c r="I14" s="102"/>
      <c r="J14" s="87"/>
      <c r="K14" s="86"/>
      <c r="L14" s="102"/>
      <c r="M14" s="87"/>
      <c r="N14" s="103"/>
    </row>
    <row r="15" s="58" customFormat="1" ht="13.5" spans="1:14">
      <c r="A15" s="78" t="s">
        <v>136</v>
      </c>
      <c r="B15" s="79">
        <v>20710</v>
      </c>
      <c r="C15" s="80" t="s">
        <v>918</v>
      </c>
      <c r="D15" s="81"/>
      <c r="E15" s="81"/>
      <c r="F15" s="81"/>
      <c r="G15" s="82"/>
      <c r="H15" s="81"/>
      <c r="I15" s="100"/>
      <c r="J15" s="82"/>
      <c r="K15" s="81"/>
      <c r="L15" s="100"/>
      <c r="M15" s="82"/>
      <c r="N15" s="101"/>
    </row>
    <row r="16" s="58" customFormat="1" ht="13.5" spans="1:14">
      <c r="A16" s="83" t="s">
        <v>138</v>
      </c>
      <c r="B16" s="84">
        <v>2071099</v>
      </c>
      <c r="C16" s="85" t="s">
        <v>919</v>
      </c>
      <c r="D16" s="86"/>
      <c r="E16" s="86"/>
      <c r="F16" s="86"/>
      <c r="G16" s="87"/>
      <c r="H16" s="86"/>
      <c r="I16" s="102"/>
      <c r="J16" s="87"/>
      <c r="K16" s="86"/>
      <c r="L16" s="102"/>
      <c r="M16" s="87"/>
      <c r="N16" s="103"/>
    </row>
    <row r="17" s="59" customFormat="1" ht="13.5" spans="1:14">
      <c r="A17" s="73" t="s">
        <v>134</v>
      </c>
      <c r="B17" s="74">
        <v>211</v>
      </c>
      <c r="C17" s="75" t="s">
        <v>920</v>
      </c>
      <c r="D17" s="76"/>
      <c r="E17" s="76"/>
      <c r="F17" s="76"/>
      <c r="G17" s="77"/>
      <c r="H17" s="76"/>
      <c r="I17" s="98"/>
      <c r="J17" s="77"/>
      <c r="K17" s="76"/>
      <c r="L17" s="98"/>
      <c r="M17" s="77"/>
      <c r="N17" s="99"/>
    </row>
    <row r="18" s="58" customFormat="1" ht="13.5" spans="1:14">
      <c r="A18" s="78" t="s">
        <v>136</v>
      </c>
      <c r="B18" s="79">
        <v>21160</v>
      </c>
      <c r="C18" s="80" t="s">
        <v>921</v>
      </c>
      <c r="D18" s="81"/>
      <c r="E18" s="81"/>
      <c r="F18" s="81"/>
      <c r="G18" s="82"/>
      <c r="H18" s="81"/>
      <c r="I18" s="100"/>
      <c r="J18" s="82"/>
      <c r="K18" s="81"/>
      <c r="L18" s="100"/>
      <c r="M18" s="82"/>
      <c r="N18" s="101"/>
    </row>
    <row r="19" s="58" customFormat="1" ht="13.5" spans="1:14">
      <c r="A19" s="78" t="s">
        <v>136</v>
      </c>
      <c r="B19" s="79">
        <v>21161</v>
      </c>
      <c r="C19" s="80" t="s">
        <v>922</v>
      </c>
      <c r="D19" s="81"/>
      <c r="E19" s="81"/>
      <c r="F19" s="81"/>
      <c r="G19" s="82"/>
      <c r="H19" s="81"/>
      <c r="I19" s="100"/>
      <c r="J19" s="82"/>
      <c r="K19" s="81"/>
      <c r="L19" s="100"/>
      <c r="M19" s="82"/>
      <c r="N19" s="101"/>
    </row>
    <row r="20" s="59" customFormat="1" ht="13.5" spans="1:14">
      <c r="A20" s="73" t="s">
        <v>134</v>
      </c>
      <c r="B20" s="74">
        <v>212</v>
      </c>
      <c r="C20" s="75" t="s">
        <v>923</v>
      </c>
      <c r="D20" s="76">
        <f>SUM(D21,D26,D28,D29,D31,D33,D34,D36,D37,D38)</f>
        <v>6733</v>
      </c>
      <c r="E20" s="76">
        <f>SUM(E21,E26,E28,E29,E31,E33,E34,E36,E37,E38)</f>
        <v>3395</v>
      </c>
      <c r="F20" s="76">
        <f>SUM(F21,F26,F28,F29,F31,F33,F34,F36,F37,F38)</f>
        <v>3470</v>
      </c>
      <c r="G20" s="88">
        <f>F20/D20</f>
        <v>0.515372048121194</v>
      </c>
      <c r="H20" s="76">
        <f>SUM(H21,H26,H28,H29,H31,H33,H34,H36,H37,H38)</f>
        <v>1270</v>
      </c>
      <c r="I20" s="98">
        <f>F20-H20</f>
        <v>2200</v>
      </c>
      <c r="J20" s="77"/>
      <c r="K20" s="76">
        <f>SUM(K21,K26,K28,K29,K31,K33,K34,K36,K37,K38)</f>
        <v>8320</v>
      </c>
      <c r="L20" s="98">
        <f>K20-D20</f>
        <v>1587</v>
      </c>
      <c r="M20" s="77">
        <f>L20/D20</f>
        <v>0.23570473785831</v>
      </c>
      <c r="N20" s="99"/>
    </row>
    <row r="21" s="58" customFormat="1" ht="13.5" spans="1:14">
      <c r="A21" s="78" t="s">
        <v>136</v>
      </c>
      <c r="B21" s="79">
        <v>21208</v>
      </c>
      <c r="C21" s="80" t="s">
        <v>924</v>
      </c>
      <c r="D21" s="81">
        <f>SUM(D24:D25)</f>
        <v>3357</v>
      </c>
      <c r="E21" s="81">
        <f>SUM(E24:E25)</f>
        <v>3389</v>
      </c>
      <c r="F21" s="81">
        <f>SUM(F22:F25)</f>
        <v>41</v>
      </c>
      <c r="G21" s="82">
        <f>F21/D21</f>
        <v>0.0122132856717307</v>
      </c>
      <c r="H21" s="81">
        <f>SUM(H22:H23)</f>
        <v>32</v>
      </c>
      <c r="I21" s="100">
        <f>F21-H21</f>
        <v>9</v>
      </c>
      <c r="J21" s="82"/>
      <c r="K21" s="81">
        <f>SUM(K24:K25)</f>
        <v>6434</v>
      </c>
      <c r="L21" s="100">
        <f>K21-D21</f>
        <v>3077</v>
      </c>
      <c r="M21" s="82">
        <f>L21/D21</f>
        <v>0.916592195412571</v>
      </c>
      <c r="N21" s="104"/>
    </row>
    <row r="22" s="58" customFormat="1" ht="13.5" spans="1:14">
      <c r="A22" s="83" t="s">
        <v>138</v>
      </c>
      <c r="B22" s="84">
        <v>2120803</v>
      </c>
      <c r="C22" s="85" t="s">
        <v>925</v>
      </c>
      <c r="D22" s="86"/>
      <c r="E22" s="86"/>
      <c r="F22" s="86">
        <v>1</v>
      </c>
      <c r="G22" s="87"/>
      <c r="H22" s="86">
        <v>32</v>
      </c>
      <c r="I22" s="102">
        <f>F22-H22</f>
        <v>-31</v>
      </c>
      <c r="J22" s="87"/>
      <c r="K22" s="86"/>
      <c r="L22" s="102"/>
      <c r="M22" s="87"/>
      <c r="N22" s="105"/>
    </row>
    <row r="23" s="58" customFormat="1" ht="13.5" spans="1:14">
      <c r="A23" s="83" t="s">
        <v>138</v>
      </c>
      <c r="B23" s="84">
        <v>2120804</v>
      </c>
      <c r="C23" s="85" t="s">
        <v>926</v>
      </c>
      <c r="D23" s="86"/>
      <c r="E23" s="86"/>
      <c r="F23" s="86">
        <v>39</v>
      </c>
      <c r="G23" s="87"/>
      <c r="H23" s="86"/>
      <c r="I23" s="102">
        <f>F23-H23</f>
        <v>39</v>
      </c>
      <c r="J23" s="87"/>
      <c r="K23" s="86"/>
      <c r="L23" s="102"/>
      <c r="M23" s="87"/>
      <c r="N23" s="105"/>
    </row>
    <row r="24" s="58" customFormat="1" ht="13.5" spans="1:14">
      <c r="A24" s="83" t="s">
        <v>138</v>
      </c>
      <c r="B24" s="84">
        <v>2120816</v>
      </c>
      <c r="C24" s="85" t="s">
        <v>927</v>
      </c>
      <c r="D24" s="86"/>
      <c r="E24" s="86"/>
      <c r="F24" s="86">
        <v>1</v>
      </c>
      <c r="G24" s="87"/>
      <c r="H24" s="86"/>
      <c r="I24" s="102">
        <f>F24-H24</f>
        <v>1</v>
      </c>
      <c r="J24" s="87"/>
      <c r="K24" s="86"/>
      <c r="L24" s="102"/>
      <c r="M24" s="87"/>
      <c r="N24" s="103"/>
    </row>
    <row r="25" s="58" customFormat="1" ht="13.5" spans="1:14">
      <c r="A25" s="83" t="s">
        <v>138</v>
      </c>
      <c r="B25" s="84">
        <v>2120899</v>
      </c>
      <c r="C25" s="85" t="s">
        <v>928</v>
      </c>
      <c r="D25" s="86">
        <v>3357</v>
      </c>
      <c r="E25" s="86">
        <v>3389</v>
      </c>
      <c r="F25" s="86"/>
      <c r="G25" s="87"/>
      <c r="H25" s="86"/>
      <c r="I25" s="102"/>
      <c r="J25" s="87"/>
      <c r="K25" s="86">
        <v>6434</v>
      </c>
      <c r="L25" s="102">
        <f>K25-D25</f>
        <v>3077</v>
      </c>
      <c r="M25" s="87">
        <f>L25/D25</f>
        <v>0.916592195412571</v>
      </c>
      <c r="N25" s="103"/>
    </row>
    <row r="26" s="58" customFormat="1" ht="13.5" spans="1:14">
      <c r="A26" s="78" t="s">
        <v>136</v>
      </c>
      <c r="B26" s="79">
        <v>21210</v>
      </c>
      <c r="C26" s="80" t="s">
        <v>929</v>
      </c>
      <c r="D26" s="81"/>
      <c r="E26" s="81">
        <f>SUM(E27:E27)</f>
        <v>0</v>
      </c>
      <c r="F26" s="81"/>
      <c r="G26" s="82"/>
      <c r="H26" s="81"/>
      <c r="I26" s="100"/>
      <c r="J26" s="82"/>
      <c r="K26" s="81"/>
      <c r="L26" s="100"/>
      <c r="M26" s="82"/>
      <c r="N26" s="101"/>
    </row>
    <row r="27" s="58" customFormat="1" ht="13.5" spans="1:14">
      <c r="A27" s="83" t="s">
        <v>138</v>
      </c>
      <c r="B27" s="84">
        <v>2121099</v>
      </c>
      <c r="C27" s="85" t="s">
        <v>930</v>
      </c>
      <c r="D27" s="86"/>
      <c r="E27" s="86"/>
      <c r="F27" s="86"/>
      <c r="G27" s="87"/>
      <c r="H27" s="86"/>
      <c r="I27" s="102"/>
      <c r="J27" s="87"/>
      <c r="K27" s="86"/>
      <c r="L27" s="102"/>
      <c r="M27" s="87"/>
      <c r="N27" s="103"/>
    </row>
    <row r="28" s="58" customFormat="1" ht="13.5" spans="1:14">
      <c r="A28" s="78" t="s">
        <v>136</v>
      </c>
      <c r="B28" s="79">
        <v>21211</v>
      </c>
      <c r="C28" s="80" t="s">
        <v>931</v>
      </c>
      <c r="D28" s="81"/>
      <c r="E28" s="81"/>
      <c r="F28" s="81"/>
      <c r="G28" s="82"/>
      <c r="H28" s="81"/>
      <c r="I28" s="100"/>
      <c r="J28" s="82"/>
      <c r="K28" s="81"/>
      <c r="L28" s="100"/>
      <c r="M28" s="82"/>
      <c r="N28" s="101"/>
    </row>
    <row r="29" s="58" customFormat="1" ht="13.5" spans="1:14">
      <c r="A29" s="78" t="s">
        <v>136</v>
      </c>
      <c r="B29" s="79">
        <v>21213</v>
      </c>
      <c r="C29" s="80" t="s">
        <v>932</v>
      </c>
      <c r="D29" s="81">
        <f>SUM(D30:D30)</f>
        <v>6</v>
      </c>
      <c r="E29" s="81">
        <f>SUM(E30:E30)</f>
        <v>6</v>
      </c>
      <c r="F29" s="81"/>
      <c r="G29" s="82"/>
      <c r="H29" s="81"/>
      <c r="I29" s="100"/>
      <c r="J29" s="82"/>
      <c r="K29" s="81">
        <f>SUM(K30:K30)</f>
        <v>6</v>
      </c>
      <c r="L29" s="100"/>
      <c r="M29" s="82"/>
      <c r="N29" s="101"/>
    </row>
    <row r="30" s="58" customFormat="1" ht="13.5" spans="1:14">
      <c r="A30" s="83" t="s">
        <v>138</v>
      </c>
      <c r="B30" s="84">
        <v>2121399</v>
      </c>
      <c r="C30" s="85" t="s">
        <v>933</v>
      </c>
      <c r="D30" s="86">
        <v>6</v>
      </c>
      <c r="E30" s="86">
        <v>6</v>
      </c>
      <c r="F30" s="86"/>
      <c r="G30" s="87"/>
      <c r="H30" s="86"/>
      <c r="I30" s="102"/>
      <c r="J30" s="87"/>
      <c r="K30" s="86">
        <v>6</v>
      </c>
      <c r="L30" s="102"/>
      <c r="M30" s="87"/>
      <c r="N30" s="103"/>
    </row>
    <row r="31" s="58" customFormat="1" ht="13.5" spans="1:14">
      <c r="A31" s="78" t="s">
        <v>136</v>
      </c>
      <c r="B31" s="79">
        <v>21214</v>
      </c>
      <c r="C31" s="80" t="s">
        <v>934</v>
      </c>
      <c r="D31" s="81"/>
      <c r="E31" s="81">
        <f>SUM(E32:E32)</f>
        <v>0</v>
      </c>
      <c r="F31" s="81"/>
      <c r="G31" s="82"/>
      <c r="H31" s="81"/>
      <c r="I31" s="100"/>
      <c r="J31" s="82"/>
      <c r="K31" s="81"/>
      <c r="L31" s="100"/>
      <c r="M31" s="82"/>
      <c r="N31" s="106"/>
    </row>
    <row r="32" s="58" customFormat="1" ht="13.5" spans="1:14">
      <c r="A32" s="83" t="s">
        <v>138</v>
      </c>
      <c r="B32" s="84">
        <v>2121499</v>
      </c>
      <c r="C32" s="85" t="s">
        <v>935</v>
      </c>
      <c r="D32" s="86"/>
      <c r="E32" s="86"/>
      <c r="F32" s="86"/>
      <c r="G32" s="87"/>
      <c r="H32" s="86"/>
      <c r="I32" s="102"/>
      <c r="J32" s="87"/>
      <c r="K32" s="86"/>
      <c r="L32" s="102"/>
      <c r="M32" s="87"/>
      <c r="N32" s="103"/>
    </row>
    <row r="33" s="58" customFormat="1" ht="13.5" spans="1:14">
      <c r="A33" s="78" t="s">
        <v>136</v>
      </c>
      <c r="B33" s="79">
        <v>21215</v>
      </c>
      <c r="C33" s="80" t="s">
        <v>936</v>
      </c>
      <c r="D33" s="81"/>
      <c r="E33" s="81"/>
      <c r="F33" s="81"/>
      <c r="G33" s="82"/>
      <c r="H33" s="81"/>
      <c r="I33" s="100"/>
      <c r="J33" s="82"/>
      <c r="K33" s="81"/>
      <c r="L33" s="100"/>
      <c r="M33" s="82"/>
      <c r="N33" s="101"/>
    </row>
    <row r="34" s="58" customFormat="1" ht="13.5" spans="1:14">
      <c r="A34" s="78" t="s">
        <v>136</v>
      </c>
      <c r="B34" s="79">
        <v>21216</v>
      </c>
      <c r="C34" s="80" t="s">
        <v>937</v>
      </c>
      <c r="D34" s="81"/>
      <c r="E34" s="81"/>
      <c r="F34" s="81"/>
      <c r="G34" s="82"/>
      <c r="H34" s="81"/>
      <c r="I34" s="100"/>
      <c r="J34" s="82"/>
      <c r="K34" s="81"/>
      <c r="L34" s="100"/>
      <c r="M34" s="82"/>
      <c r="N34" s="101"/>
    </row>
    <row r="35" s="58" customFormat="1" ht="13.5" spans="1:14">
      <c r="A35" s="83" t="s">
        <v>138</v>
      </c>
      <c r="B35" s="84">
        <v>2121699</v>
      </c>
      <c r="C35" s="85" t="s">
        <v>938</v>
      </c>
      <c r="D35" s="86"/>
      <c r="E35" s="86"/>
      <c r="F35" s="86"/>
      <c r="G35" s="87"/>
      <c r="H35" s="86"/>
      <c r="I35" s="102"/>
      <c r="J35" s="87"/>
      <c r="K35" s="86"/>
      <c r="L35" s="102"/>
      <c r="M35" s="87"/>
      <c r="N35" s="103"/>
    </row>
    <row r="36" s="58" customFormat="1" ht="13.5" spans="1:14">
      <c r="A36" s="78" t="s">
        <v>136</v>
      </c>
      <c r="B36" s="79">
        <v>21217</v>
      </c>
      <c r="C36" s="80" t="s">
        <v>939</v>
      </c>
      <c r="D36" s="81"/>
      <c r="E36" s="81"/>
      <c r="F36" s="81"/>
      <c r="G36" s="82"/>
      <c r="H36" s="81"/>
      <c r="I36" s="100"/>
      <c r="J36" s="82"/>
      <c r="K36" s="81"/>
      <c r="L36" s="100"/>
      <c r="M36" s="82"/>
      <c r="N36" s="101"/>
    </row>
    <row r="37" s="58" customFormat="1" ht="13.5" spans="1:14">
      <c r="A37" s="78" t="s">
        <v>136</v>
      </c>
      <c r="B37" s="79">
        <v>21218</v>
      </c>
      <c r="C37" s="80" t="s">
        <v>940</v>
      </c>
      <c r="D37" s="81"/>
      <c r="E37" s="81"/>
      <c r="F37" s="81"/>
      <c r="G37" s="82"/>
      <c r="H37" s="81"/>
      <c r="I37" s="100"/>
      <c r="J37" s="82"/>
      <c r="K37" s="81"/>
      <c r="L37" s="100"/>
      <c r="M37" s="82"/>
      <c r="N37" s="101"/>
    </row>
    <row r="38" s="58" customFormat="1" ht="13.5" spans="1:14">
      <c r="A38" s="78" t="s">
        <v>136</v>
      </c>
      <c r="B38" s="79">
        <v>21219</v>
      </c>
      <c r="C38" s="80" t="s">
        <v>941</v>
      </c>
      <c r="D38" s="81">
        <f>SUM(D40:D41)</f>
        <v>3370</v>
      </c>
      <c r="E38" s="81">
        <f>SUM(E40:E41)</f>
        <v>0</v>
      </c>
      <c r="F38" s="81">
        <f>SUM(F39:F41)</f>
        <v>3429</v>
      </c>
      <c r="G38" s="89">
        <f>F38/D38</f>
        <v>1.01750741839763</v>
      </c>
      <c r="H38" s="81">
        <f>SUM(H39:H41)</f>
        <v>1238</v>
      </c>
      <c r="I38" s="100">
        <f>F38-H38</f>
        <v>2191</v>
      </c>
      <c r="J38" s="82"/>
      <c r="K38" s="81">
        <f>SUM(K39:K41)</f>
        <v>1880</v>
      </c>
      <c r="L38" s="100">
        <f>K38-D38</f>
        <v>-1490</v>
      </c>
      <c r="M38" s="82">
        <f>L38/D38</f>
        <v>-0.44213649851632</v>
      </c>
      <c r="N38" s="101"/>
    </row>
    <row r="39" s="58" customFormat="1" ht="13.5" spans="1:14">
      <c r="A39" s="83" t="s">
        <v>138</v>
      </c>
      <c r="B39" s="90">
        <v>2121903</v>
      </c>
      <c r="C39" s="91" t="s">
        <v>925</v>
      </c>
      <c r="D39" s="86"/>
      <c r="E39" s="86"/>
      <c r="F39" s="86">
        <v>3027</v>
      </c>
      <c r="G39" s="87"/>
      <c r="H39" s="92"/>
      <c r="I39" s="102">
        <f>F39-H39</f>
        <v>3027</v>
      </c>
      <c r="J39" s="87"/>
      <c r="K39" s="86">
        <v>1880</v>
      </c>
      <c r="L39" s="102">
        <f>K39-D39</f>
        <v>1880</v>
      </c>
      <c r="M39" s="87"/>
      <c r="N39" s="103"/>
    </row>
    <row r="40" s="58" customFormat="1" ht="13.5" spans="1:14">
      <c r="A40" s="83" t="s">
        <v>138</v>
      </c>
      <c r="B40" s="84">
        <v>2121904</v>
      </c>
      <c r="C40" s="85" t="s">
        <v>942</v>
      </c>
      <c r="D40" s="86">
        <v>3370</v>
      </c>
      <c r="E40" s="86"/>
      <c r="F40" s="86"/>
      <c r="G40" s="87"/>
      <c r="H40" s="86">
        <v>1238</v>
      </c>
      <c r="I40" s="102">
        <f>F40-H40</f>
        <v>-1238</v>
      </c>
      <c r="J40" s="87"/>
      <c r="K40" s="86"/>
      <c r="L40" s="102">
        <f>K40-D40</f>
        <v>-3370</v>
      </c>
      <c r="M40" s="87">
        <f>L40/D40</f>
        <v>-1</v>
      </c>
      <c r="N40" s="103"/>
    </row>
    <row r="41" s="58" customFormat="1" ht="13.5" spans="1:14">
      <c r="A41" s="83" t="s">
        <v>138</v>
      </c>
      <c r="B41" s="84">
        <v>2121999</v>
      </c>
      <c r="C41" s="85" t="s">
        <v>943</v>
      </c>
      <c r="D41" s="86"/>
      <c r="E41" s="86"/>
      <c r="F41" s="86">
        <v>402</v>
      </c>
      <c r="G41" s="87"/>
      <c r="H41" s="86"/>
      <c r="I41" s="102">
        <f>F41-H41</f>
        <v>402</v>
      </c>
      <c r="J41" s="87"/>
      <c r="K41" s="86"/>
      <c r="L41" s="102"/>
      <c r="M41" s="87"/>
      <c r="N41" s="103"/>
    </row>
    <row r="42" s="59" customFormat="1" ht="13.5" spans="1:14">
      <c r="A42" s="73" t="s">
        <v>134</v>
      </c>
      <c r="B42" s="74">
        <v>213</v>
      </c>
      <c r="C42" s="75" t="s">
        <v>944</v>
      </c>
      <c r="D42" s="76">
        <f>SUM(D43,D44,D45,D46,D47,D48,D50,D52)</f>
        <v>25</v>
      </c>
      <c r="E42" s="76">
        <f t="shared" ref="E42:F42" si="1">SUM(E43,E44,E45,E46,E47,E48,E50,E52)</f>
        <v>25</v>
      </c>
      <c r="F42" s="76">
        <f t="shared" si="1"/>
        <v>20</v>
      </c>
      <c r="G42" s="77">
        <f>F42/D42</f>
        <v>0.8</v>
      </c>
      <c r="H42" s="76"/>
      <c r="I42" s="98">
        <f t="shared" ref="I42:I51" si="2">F42-H42</f>
        <v>20</v>
      </c>
      <c r="J42" s="77"/>
      <c r="K42" s="76">
        <f>SUM(K43,K44,K45,K46,K47,K48,K50,K52)</f>
        <v>5</v>
      </c>
      <c r="L42" s="98">
        <f t="shared" ref="L42:L47" si="3">K42-D42</f>
        <v>-20</v>
      </c>
      <c r="M42" s="77">
        <v>0</v>
      </c>
      <c r="N42" s="99"/>
    </row>
    <row r="43" s="58" customFormat="1" ht="13.5" hidden="1" spans="1:14">
      <c r="A43" s="78" t="s">
        <v>136</v>
      </c>
      <c r="B43" s="79">
        <v>21366</v>
      </c>
      <c r="C43" s="80" t="s">
        <v>945</v>
      </c>
      <c r="D43" s="81"/>
      <c r="E43" s="81"/>
      <c r="F43" s="81"/>
      <c r="G43" s="82">
        <f t="shared" ref="G43:G47" si="4">IF(E43=0,,F43/E43*100)</f>
        <v>0</v>
      </c>
      <c r="H43" s="81"/>
      <c r="I43" s="100">
        <f t="shared" si="2"/>
        <v>0</v>
      </c>
      <c r="J43" s="82">
        <f t="shared" ref="J43:J47" si="5">IF(H43=0,,I43/H43*100)</f>
        <v>0</v>
      </c>
      <c r="K43" s="81"/>
      <c r="L43" s="100">
        <f t="shared" si="3"/>
        <v>0</v>
      </c>
      <c r="M43" s="82">
        <v>0</v>
      </c>
      <c r="N43" s="101"/>
    </row>
    <row r="44" s="58" customFormat="1" ht="13.5" hidden="1" spans="1:14">
      <c r="A44" s="78" t="s">
        <v>136</v>
      </c>
      <c r="B44" s="79">
        <v>21367</v>
      </c>
      <c r="C44" s="80" t="s">
        <v>946</v>
      </c>
      <c r="D44" s="81"/>
      <c r="E44" s="81"/>
      <c r="F44" s="81"/>
      <c r="G44" s="82">
        <f t="shared" si="4"/>
        <v>0</v>
      </c>
      <c r="H44" s="81"/>
      <c r="I44" s="100">
        <f t="shared" si="2"/>
        <v>0</v>
      </c>
      <c r="J44" s="82">
        <f t="shared" si="5"/>
        <v>0</v>
      </c>
      <c r="K44" s="81"/>
      <c r="L44" s="100">
        <f t="shared" si="3"/>
        <v>0</v>
      </c>
      <c r="M44" s="82">
        <v>0</v>
      </c>
      <c r="N44" s="101"/>
    </row>
    <row r="45" s="58" customFormat="1" ht="13.5" hidden="1" spans="1:14">
      <c r="A45" s="78" t="s">
        <v>136</v>
      </c>
      <c r="B45" s="79">
        <v>21369</v>
      </c>
      <c r="C45" s="80" t="s">
        <v>947</v>
      </c>
      <c r="D45" s="81"/>
      <c r="E45" s="81"/>
      <c r="F45" s="81"/>
      <c r="G45" s="82">
        <f t="shared" si="4"/>
        <v>0</v>
      </c>
      <c r="H45" s="81"/>
      <c r="I45" s="100">
        <f t="shared" si="2"/>
        <v>0</v>
      </c>
      <c r="J45" s="82">
        <f t="shared" si="5"/>
        <v>0</v>
      </c>
      <c r="K45" s="81"/>
      <c r="L45" s="100">
        <f t="shared" si="3"/>
        <v>0</v>
      </c>
      <c r="M45" s="82">
        <v>0</v>
      </c>
      <c r="N45" s="101"/>
    </row>
    <row r="46" s="58" customFormat="1" ht="13.5" hidden="1" spans="1:14">
      <c r="A46" s="78" t="s">
        <v>136</v>
      </c>
      <c r="B46" s="79">
        <v>21370</v>
      </c>
      <c r="C46" s="80" t="s">
        <v>948</v>
      </c>
      <c r="D46" s="81"/>
      <c r="E46" s="81"/>
      <c r="F46" s="81"/>
      <c r="G46" s="82">
        <f t="shared" si="4"/>
        <v>0</v>
      </c>
      <c r="H46" s="86"/>
      <c r="I46" s="100">
        <f t="shared" si="2"/>
        <v>0</v>
      </c>
      <c r="J46" s="82">
        <f t="shared" si="5"/>
        <v>0</v>
      </c>
      <c r="K46" s="81"/>
      <c r="L46" s="100">
        <f t="shared" si="3"/>
        <v>0</v>
      </c>
      <c r="M46" s="82">
        <v>0</v>
      </c>
      <c r="N46" s="101"/>
    </row>
    <row r="47" s="58" customFormat="1" ht="13.5" hidden="1" spans="1:14">
      <c r="A47" s="78" t="s">
        <v>136</v>
      </c>
      <c r="B47" s="79">
        <v>21371</v>
      </c>
      <c r="C47" s="80" t="s">
        <v>949</v>
      </c>
      <c r="D47" s="81"/>
      <c r="E47" s="81"/>
      <c r="F47" s="81"/>
      <c r="G47" s="82">
        <f t="shared" si="4"/>
        <v>0</v>
      </c>
      <c r="H47" s="81"/>
      <c r="I47" s="100">
        <f t="shared" si="2"/>
        <v>0</v>
      </c>
      <c r="J47" s="82">
        <f t="shared" si="5"/>
        <v>0</v>
      </c>
      <c r="K47" s="81"/>
      <c r="L47" s="100">
        <f t="shared" si="3"/>
        <v>0</v>
      </c>
      <c r="M47" s="82">
        <v>0</v>
      </c>
      <c r="N47" s="101"/>
    </row>
    <row r="48" s="58" customFormat="1" ht="13.5" spans="1:14">
      <c r="A48" s="78" t="s">
        <v>136</v>
      </c>
      <c r="B48" s="79">
        <v>21372</v>
      </c>
      <c r="C48" s="80" t="s">
        <v>950</v>
      </c>
      <c r="D48" s="81">
        <f>SUM(D49:D49)</f>
        <v>2</v>
      </c>
      <c r="E48" s="81">
        <f>SUM(E49:E49)</f>
        <v>2</v>
      </c>
      <c r="F48" s="81"/>
      <c r="G48" s="82"/>
      <c r="H48" s="93"/>
      <c r="I48" s="100"/>
      <c r="J48" s="82"/>
      <c r="K48" s="81">
        <f>SUM(K49:K49)</f>
        <v>2</v>
      </c>
      <c r="L48" s="100"/>
      <c r="M48" s="82"/>
      <c r="N48" s="101"/>
    </row>
    <row r="49" s="58" customFormat="1" ht="13.5" spans="1:14">
      <c r="A49" s="83" t="s">
        <v>138</v>
      </c>
      <c r="B49" s="84">
        <v>2137202</v>
      </c>
      <c r="C49" s="85" t="s">
        <v>951</v>
      </c>
      <c r="D49" s="86">
        <v>2</v>
      </c>
      <c r="E49" s="86">
        <v>2</v>
      </c>
      <c r="F49" s="86"/>
      <c r="G49" s="87"/>
      <c r="H49" s="86"/>
      <c r="I49" s="102"/>
      <c r="J49" s="87"/>
      <c r="K49" s="86">
        <v>2</v>
      </c>
      <c r="L49" s="102"/>
      <c r="M49" s="87"/>
      <c r="N49" s="103"/>
    </row>
    <row r="50" s="58" customFormat="1" ht="13.5" spans="1:14">
      <c r="A50" s="78" t="s">
        <v>136</v>
      </c>
      <c r="B50" s="79">
        <v>21373</v>
      </c>
      <c r="C50" s="80" t="s">
        <v>952</v>
      </c>
      <c r="D50" s="81">
        <f>SUM(D51:D51)</f>
        <v>23</v>
      </c>
      <c r="E50" s="81">
        <f>SUM(E51:E51)</f>
        <v>23</v>
      </c>
      <c r="F50" s="81">
        <f>SUM(F51:F51)</f>
        <v>20</v>
      </c>
      <c r="G50" s="82">
        <f>F50/D50</f>
        <v>0.869565217391304</v>
      </c>
      <c r="H50" s="93"/>
      <c r="I50" s="100">
        <f t="shared" si="2"/>
        <v>20</v>
      </c>
      <c r="J50" s="82"/>
      <c r="K50" s="81">
        <f>SUM(K51:K51)</f>
        <v>3</v>
      </c>
      <c r="L50" s="100">
        <f>K50-D50</f>
        <v>-20</v>
      </c>
      <c r="M50" s="82">
        <f>L50/D50</f>
        <v>-0.869565217391304</v>
      </c>
      <c r="N50" s="101"/>
    </row>
    <row r="51" s="58" customFormat="1" ht="13.5" spans="1:14">
      <c r="A51" s="83" t="s">
        <v>138</v>
      </c>
      <c r="B51" s="84">
        <v>2137302</v>
      </c>
      <c r="C51" s="85" t="s">
        <v>951</v>
      </c>
      <c r="D51" s="86">
        <v>23</v>
      </c>
      <c r="E51" s="86">
        <v>23</v>
      </c>
      <c r="F51" s="86">
        <v>20</v>
      </c>
      <c r="G51" s="87">
        <f>F51/D51</f>
        <v>0.869565217391304</v>
      </c>
      <c r="H51" s="86"/>
      <c r="I51" s="102">
        <f t="shared" si="2"/>
        <v>20</v>
      </c>
      <c r="J51" s="87"/>
      <c r="K51" s="86">
        <v>3</v>
      </c>
      <c r="L51" s="102">
        <f>K51-D51</f>
        <v>-20</v>
      </c>
      <c r="M51" s="87">
        <f>L51/D51</f>
        <v>-0.869565217391304</v>
      </c>
      <c r="N51" s="103"/>
    </row>
    <row r="52" s="58" customFormat="1" ht="13.5" spans="1:14">
      <c r="A52" s="78" t="s">
        <v>136</v>
      </c>
      <c r="B52" s="79">
        <v>21374</v>
      </c>
      <c r="C52" s="80" t="s">
        <v>953</v>
      </c>
      <c r="D52" s="81"/>
      <c r="E52" s="81"/>
      <c r="F52" s="81"/>
      <c r="G52" s="82"/>
      <c r="H52" s="81"/>
      <c r="I52" s="100"/>
      <c r="J52" s="82"/>
      <c r="K52" s="81"/>
      <c r="L52" s="100"/>
      <c r="M52" s="82"/>
      <c r="N52" s="101"/>
    </row>
    <row r="53" s="59" customFormat="1" ht="13.5" spans="1:14">
      <c r="A53" s="73" t="s">
        <v>134</v>
      </c>
      <c r="B53" s="74">
        <v>214</v>
      </c>
      <c r="C53" s="75" t="s">
        <v>954</v>
      </c>
      <c r="D53" s="76"/>
      <c r="E53" s="76">
        <f>SUM(E54:E62)</f>
        <v>0</v>
      </c>
      <c r="F53" s="76"/>
      <c r="G53" s="77"/>
      <c r="H53" s="76"/>
      <c r="I53" s="98"/>
      <c r="J53" s="77"/>
      <c r="K53" s="76"/>
      <c r="L53" s="98"/>
      <c r="M53" s="77"/>
      <c r="N53" s="99"/>
    </row>
    <row r="54" s="58" customFormat="1" ht="13.5" hidden="1" spans="1:14">
      <c r="A54" s="78" t="s">
        <v>136</v>
      </c>
      <c r="B54" s="79">
        <v>21460</v>
      </c>
      <c r="C54" s="80" t="s">
        <v>955</v>
      </c>
      <c r="D54" s="81"/>
      <c r="E54" s="81"/>
      <c r="F54" s="81"/>
      <c r="G54" s="82">
        <f t="shared" ref="G54:G62" si="6">IF(E54=0,,F54/E54*100)</f>
        <v>0</v>
      </c>
      <c r="H54" s="94"/>
      <c r="I54" s="100">
        <f t="shared" ref="I54:I64" si="7">F54-H54</f>
        <v>0</v>
      </c>
      <c r="J54" s="82">
        <f t="shared" ref="J54:J62" si="8">IF(H54=0,,I54/H54*100)</f>
        <v>0</v>
      </c>
      <c r="K54" s="81"/>
      <c r="L54" s="100">
        <f t="shared" ref="L54:L70" si="9">K54-D54</f>
        <v>0</v>
      </c>
      <c r="M54" s="82">
        <v>0</v>
      </c>
      <c r="N54" s="101"/>
    </row>
    <row r="55" s="58" customFormat="1" ht="13.5" hidden="1" spans="1:14">
      <c r="A55" s="78" t="s">
        <v>136</v>
      </c>
      <c r="B55" s="79">
        <v>21462</v>
      </c>
      <c r="C55" s="80" t="s">
        <v>956</v>
      </c>
      <c r="D55" s="81"/>
      <c r="E55" s="81"/>
      <c r="F55" s="81"/>
      <c r="G55" s="82">
        <f t="shared" si="6"/>
        <v>0</v>
      </c>
      <c r="H55" s="94"/>
      <c r="I55" s="100">
        <f t="shared" si="7"/>
        <v>0</v>
      </c>
      <c r="J55" s="82">
        <f t="shared" si="8"/>
        <v>0</v>
      </c>
      <c r="K55" s="81"/>
      <c r="L55" s="100">
        <f t="shared" si="9"/>
        <v>0</v>
      </c>
      <c r="M55" s="82">
        <v>0</v>
      </c>
      <c r="N55" s="101"/>
    </row>
    <row r="56" s="58" customFormat="1" ht="13.5" hidden="1" spans="1:14">
      <c r="A56" s="78" t="s">
        <v>136</v>
      </c>
      <c r="B56" s="79">
        <v>21463</v>
      </c>
      <c r="C56" s="80" t="s">
        <v>957</v>
      </c>
      <c r="D56" s="81"/>
      <c r="E56" s="81"/>
      <c r="F56" s="81"/>
      <c r="G56" s="82">
        <f t="shared" si="6"/>
        <v>0</v>
      </c>
      <c r="H56" s="94"/>
      <c r="I56" s="100">
        <f t="shared" si="7"/>
        <v>0</v>
      </c>
      <c r="J56" s="82">
        <f t="shared" si="8"/>
        <v>0</v>
      </c>
      <c r="K56" s="81"/>
      <c r="L56" s="100">
        <f t="shared" si="9"/>
        <v>0</v>
      </c>
      <c r="M56" s="82">
        <v>0</v>
      </c>
      <c r="N56" s="101"/>
    </row>
    <row r="57" s="58" customFormat="1" ht="13.5" hidden="1" spans="1:14">
      <c r="A57" s="78" t="s">
        <v>136</v>
      </c>
      <c r="B57" s="79">
        <v>21464</v>
      </c>
      <c r="C57" s="80" t="s">
        <v>958</v>
      </c>
      <c r="D57" s="81"/>
      <c r="E57" s="81"/>
      <c r="F57" s="81"/>
      <c r="G57" s="82">
        <f t="shared" si="6"/>
        <v>0</v>
      </c>
      <c r="H57" s="94"/>
      <c r="I57" s="100">
        <f t="shared" si="7"/>
        <v>0</v>
      </c>
      <c r="J57" s="82">
        <f t="shared" si="8"/>
        <v>0</v>
      </c>
      <c r="K57" s="81"/>
      <c r="L57" s="100">
        <f t="shared" si="9"/>
        <v>0</v>
      </c>
      <c r="M57" s="82">
        <v>0</v>
      </c>
      <c r="N57" s="101"/>
    </row>
    <row r="58" s="58" customFormat="1" ht="13.5" hidden="1" spans="1:14">
      <c r="A58" s="78" t="s">
        <v>136</v>
      </c>
      <c r="B58" s="79">
        <v>21468</v>
      </c>
      <c r="C58" s="80" t="s">
        <v>959</v>
      </c>
      <c r="D58" s="81"/>
      <c r="E58" s="81"/>
      <c r="F58" s="81"/>
      <c r="G58" s="82">
        <f t="shared" si="6"/>
        <v>0</v>
      </c>
      <c r="H58" s="94"/>
      <c r="I58" s="100">
        <f t="shared" si="7"/>
        <v>0</v>
      </c>
      <c r="J58" s="82">
        <f t="shared" si="8"/>
        <v>0</v>
      </c>
      <c r="K58" s="81"/>
      <c r="L58" s="100">
        <f t="shared" si="9"/>
        <v>0</v>
      </c>
      <c r="M58" s="82">
        <v>0</v>
      </c>
      <c r="N58" s="101"/>
    </row>
    <row r="59" s="58" customFormat="1" ht="13.5" hidden="1" spans="1:14">
      <c r="A59" s="78" t="s">
        <v>136</v>
      </c>
      <c r="B59" s="79">
        <v>21469</v>
      </c>
      <c r="C59" s="80" t="s">
        <v>960</v>
      </c>
      <c r="D59" s="81"/>
      <c r="E59" s="81"/>
      <c r="F59" s="81"/>
      <c r="G59" s="82">
        <f t="shared" si="6"/>
        <v>0</v>
      </c>
      <c r="H59" s="94"/>
      <c r="I59" s="100">
        <f t="shared" si="7"/>
        <v>0</v>
      </c>
      <c r="J59" s="82">
        <f t="shared" si="8"/>
        <v>0</v>
      </c>
      <c r="K59" s="81"/>
      <c r="L59" s="100">
        <f t="shared" si="9"/>
        <v>0</v>
      </c>
      <c r="M59" s="82">
        <v>0</v>
      </c>
      <c r="N59" s="101"/>
    </row>
    <row r="60" s="58" customFormat="1" ht="27" hidden="1" spans="1:14">
      <c r="A60" s="78" t="s">
        <v>136</v>
      </c>
      <c r="B60" s="79">
        <v>21470</v>
      </c>
      <c r="C60" s="80" t="s">
        <v>961</v>
      </c>
      <c r="D60" s="81"/>
      <c r="E60" s="81"/>
      <c r="F60" s="81"/>
      <c r="G60" s="82">
        <f t="shared" si="6"/>
        <v>0</v>
      </c>
      <c r="H60" s="94"/>
      <c r="I60" s="100">
        <f t="shared" si="7"/>
        <v>0</v>
      </c>
      <c r="J60" s="82">
        <f t="shared" si="8"/>
        <v>0</v>
      </c>
      <c r="K60" s="81"/>
      <c r="L60" s="100">
        <f t="shared" si="9"/>
        <v>0</v>
      </c>
      <c r="M60" s="82">
        <v>0</v>
      </c>
      <c r="N60" s="101"/>
    </row>
    <row r="61" s="58" customFormat="1" ht="13.5" hidden="1" spans="1:14">
      <c r="A61" s="78" t="s">
        <v>136</v>
      </c>
      <c r="B61" s="79">
        <v>21471</v>
      </c>
      <c r="C61" s="80" t="s">
        <v>962</v>
      </c>
      <c r="D61" s="81"/>
      <c r="E61" s="81"/>
      <c r="F61" s="81"/>
      <c r="G61" s="82">
        <f t="shared" si="6"/>
        <v>0</v>
      </c>
      <c r="H61" s="94"/>
      <c r="I61" s="100">
        <f t="shared" si="7"/>
        <v>0</v>
      </c>
      <c r="J61" s="82">
        <f t="shared" si="8"/>
        <v>0</v>
      </c>
      <c r="K61" s="81"/>
      <c r="L61" s="100">
        <f t="shared" si="9"/>
        <v>0</v>
      </c>
      <c r="M61" s="82">
        <v>0</v>
      </c>
      <c r="N61" s="101"/>
    </row>
    <row r="62" s="58" customFormat="1" ht="13.5" hidden="1" spans="1:14">
      <c r="A62" s="78" t="s">
        <v>136</v>
      </c>
      <c r="B62" s="79">
        <v>21473</v>
      </c>
      <c r="C62" s="80" t="s">
        <v>963</v>
      </c>
      <c r="D62" s="81"/>
      <c r="E62" s="81"/>
      <c r="F62" s="81"/>
      <c r="G62" s="82">
        <f t="shared" si="6"/>
        <v>0</v>
      </c>
      <c r="H62" s="94"/>
      <c r="I62" s="100">
        <f t="shared" si="7"/>
        <v>0</v>
      </c>
      <c r="J62" s="82">
        <f t="shared" si="8"/>
        <v>0</v>
      </c>
      <c r="K62" s="81"/>
      <c r="L62" s="100">
        <f t="shared" si="9"/>
        <v>0</v>
      </c>
      <c r="M62" s="82">
        <v>0</v>
      </c>
      <c r="N62" s="101"/>
    </row>
    <row r="63" s="59" customFormat="1" ht="13.5" spans="1:14">
      <c r="A63" s="73" t="s">
        <v>134</v>
      </c>
      <c r="B63" s="74">
        <v>215</v>
      </c>
      <c r="C63" s="75" t="s">
        <v>964</v>
      </c>
      <c r="D63" s="76"/>
      <c r="E63" s="76">
        <f>SUM(E64)</f>
        <v>0</v>
      </c>
      <c r="F63" s="76">
        <v>5</v>
      </c>
      <c r="G63" s="77"/>
      <c r="H63" s="76"/>
      <c r="I63" s="98">
        <f t="shared" si="7"/>
        <v>5</v>
      </c>
      <c r="J63" s="77"/>
      <c r="K63" s="76">
        <f>K64</f>
        <v>46</v>
      </c>
      <c r="L63" s="98">
        <f t="shared" si="9"/>
        <v>46</v>
      </c>
      <c r="M63" s="77"/>
      <c r="N63" s="99"/>
    </row>
    <row r="64" s="58" customFormat="1" ht="13.5" spans="1:14">
      <c r="A64" s="78" t="s">
        <v>136</v>
      </c>
      <c r="B64" s="79">
        <v>2159802</v>
      </c>
      <c r="C64" s="80" t="s">
        <v>965</v>
      </c>
      <c r="D64" s="81"/>
      <c r="E64" s="81"/>
      <c r="F64" s="81">
        <v>5</v>
      </c>
      <c r="G64" s="82"/>
      <c r="H64" s="93"/>
      <c r="I64" s="100">
        <f t="shared" si="7"/>
        <v>5</v>
      </c>
      <c r="J64" s="82"/>
      <c r="K64" s="81">
        <v>46</v>
      </c>
      <c r="L64" s="100">
        <f t="shared" si="9"/>
        <v>46</v>
      </c>
      <c r="M64" s="82"/>
      <c r="N64" s="101"/>
    </row>
    <row r="65" s="59" customFormat="1" ht="13.5" spans="1:14">
      <c r="A65" s="73" t="s">
        <v>134</v>
      </c>
      <c r="B65" s="74">
        <v>217</v>
      </c>
      <c r="C65" s="75" t="s">
        <v>966</v>
      </c>
      <c r="D65" s="76"/>
      <c r="E65" s="76"/>
      <c r="F65" s="76"/>
      <c r="G65" s="77"/>
      <c r="H65" s="76"/>
      <c r="I65" s="98"/>
      <c r="J65" s="77"/>
      <c r="K65" s="76"/>
      <c r="L65" s="98"/>
      <c r="M65" s="77"/>
      <c r="N65" s="99"/>
    </row>
    <row r="66" s="58" customFormat="1" ht="13.5" spans="1:14">
      <c r="A66" s="78" t="s">
        <v>136</v>
      </c>
      <c r="B66" s="79">
        <v>21704</v>
      </c>
      <c r="C66" s="80" t="s">
        <v>661</v>
      </c>
      <c r="D66" s="81"/>
      <c r="E66" s="81"/>
      <c r="F66" s="81"/>
      <c r="G66" s="82"/>
      <c r="H66" s="93"/>
      <c r="I66" s="100"/>
      <c r="J66" s="82"/>
      <c r="K66" s="81"/>
      <c r="L66" s="100"/>
      <c r="M66" s="82"/>
      <c r="N66" s="101"/>
    </row>
    <row r="67" s="59" customFormat="1" ht="13.5" spans="1:14">
      <c r="A67" s="73" t="s">
        <v>134</v>
      </c>
      <c r="B67" s="74">
        <v>229</v>
      </c>
      <c r="C67" s="75" t="s">
        <v>967</v>
      </c>
      <c r="D67" s="76">
        <f>SUM(D68,D72,D75)</f>
        <v>1130</v>
      </c>
      <c r="E67" s="76">
        <f t="shared" ref="E67:F67" si="10">SUM(E68,E72,E75)</f>
        <v>1023</v>
      </c>
      <c r="F67" s="76">
        <f t="shared" si="10"/>
        <v>14884</v>
      </c>
      <c r="G67" s="88">
        <f>F67/D67</f>
        <v>13.1716814159292</v>
      </c>
      <c r="H67" s="76">
        <f>SUM(H68,H72,H75)</f>
        <v>165</v>
      </c>
      <c r="I67" s="98">
        <f>F67-H67</f>
        <v>14719</v>
      </c>
      <c r="J67" s="77"/>
      <c r="K67" s="76">
        <f>SUM(K68,K72,K75)</f>
        <v>3490</v>
      </c>
      <c r="L67" s="98">
        <f t="shared" si="9"/>
        <v>2360</v>
      </c>
      <c r="M67" s="77">
        <f>L67/D67</f>
        <v>2.08849557522124</v>
      </c>
      <c r="N67" s="99"/>
    </row>
    <row r="68" s="58" customFormat="1" ht="13.5" spans="1:14">
      <c r="A68" s="78" t="s">
        <v>136</v>
      </c>
      <c r="B68" s="79">
        <v>22904</v>
      </c>
      <c r="C68" s="80" t="s">
        <v>968</v>
      </c>
      <c r="D68" s="81">
        <f>SUM(D69:D70)</f>
        <v>67</v>
      </c>
      <c r="E68" s="81">
        <f t="shared" ref="E68:F68" si="11">SUM(E69:E70)</f>
        <v>67</v>
      </c>
      <c r="F68" s="81">
        <f t="shared" si="11"/>
        <v>14700</v>
      </c>
      <c r="G68" s="82">
        <f>F68/D68</f>
        <v>219.402985074627</v>
      </c>
      <c r="H68" s="93"/>
      <c r="I68" s="100">
        <f>F68-H68</f>
        <v>14700</v>
      </c>
      <c r="J68" s="82"/>
      <c r="K68" s="81">
        <f>SUM(K69:K70)</f>
        <v>2367</v>
      </c>
      <c r="L68" s="100">
        <f t="shared" si="9"/>
        <v>2300</v>
      </c>
      <c r="M68" s="82">
        <f>L68/D68</f>
        <v>34.3283582089552</v>
      </c>
      <c r="N68" s="101"/>
    </row>
    <row r="69" s="58" customFormat="1" ht="13.5" spans="1:14">
      <c r="A69" s="83" t="s">
        <v>138</v>
      </c>
      <c r="B69" s="84">
        <v>2290401</v>
      </c>
      <c r="C69" s="85" t="s">
        <v>969</v>
      </c>
      <c r="D69" s="86">
        <v>67</v>
      </c>
      <c r="E69" s="86">
        <v>67</v>
      </c>
      <c r="F69" s="86"/>
      <c r="G69" s="87"/>
      <c r="H69" s="86"/>
      <c r="I69" s="102">
        <f>F69-H69</f>
        <v>0</v>
      </c>
      <c r="J69" s="87"/>
      <c r="K69" s="86">
        <v>67</v>
      </c>
      <c r="L69" s="102">
        <f t="shared" si="9"/>
        <v>0</v>
      </c>
      <c r="M69" s="87"/>
      <c r="N69" s="103"/>
    </row>
    <row r="70" s="58" customFormat="1" ht="13.5" spans="1:14">
      <c r="A70" s="83" t="s">
        <v>138</v>
      </c>
      <c r="B70" s="84">
        <v>2290402</v>
      </c>
      <c r="C70" s="85" t="s">
        <v>970</v>
      </c>
      <c r="D70" s="86"/>
      <c r="E70" s="86"/>
      <c r="F70" s="86">
        <v>14700</v>
      </c>
      <c r="G70" s="87"/>
      <c r="H70" s="86"/>
      <c r="I70" s="102">
        <f>F70-H70</f>
        <v>14700</v>
      </c>
      <c r="J70" s="87"/>
      <c r="K70" s="86">
        <v>2300</v>
      </c>
      <c r="L70" s="102">
        <f t="shared" si="9"/>
        <v>2300</v>
      </c>
      <c r="M70" s="87"/>
      <c r="N70" s="103"/>
    </row>
    <row r="71" s="58" customFormat="1" ht="13.5" spans="1:14">
      <c r="A71" s="83" t="s">
        <v>138</v>
      </c>
      <c r="B71" s="84">
        <v>2290403</v>
      </c>
      <c r="C71" s="85" t="s">
        <v>971</v>
      </c>
      <c r="D71" s="86"/>
      <c r="E71" s="86"/>
      <c r="F71" s="86"/>
      <c r="G71" s="87"/>
      <c r="H71" s="86"/>
      <c r="I71" s="102"/>
      <c r="J71" s="87"/>
      <c r="K71" s="86"/>
      <c r="L71" s="102"/>
      <c r="M71" s="87"/>
      <c r="N71" s="103"/>
    </row>
    <row r="72" s="58" customFormat="1" ht="13.5" spans="1:14">
      <c r="A72" s="78" t="s">
        <v>136</v>
      </c>
      <c r="B72" s="79">
        <v>22908</v>
      </c>
      <c r="C72" s="80" t="s">
        <v>972</v>
      </c>
      <c r="D72" s="81"/>
      <c r="E72" s="81"/>
      <c r="F72" s="81"/>
      <c r="G72" s="82"/>
      <c r="H72" s="81"/>
      <c r="I72" s="100"/>
      <c r="J72" s="82"/>
      <c r="K72" s="81"/>
      <c r="L72" s="100"/>
      <c r="M72" s="82"/>
      <c r="N72" s="101"/>
    </row>
    <row r="73" s="58" customFormat="1" ht="13.5" spans="1:14">
      <c r="A73" s="83" t="s">
        <v>138</v>
      </c>
      <c r="B73" s="84">
        <v>2290899</v>
      </c>
      <c r="C73" s="85" t="s">
        <v>973</v>
      </c>
      <c r="D73" s="86"/>
      <c r="E73" s="86"/>
      <c r="F73" s="86"/>
      <c r="G73" s="87"/>
      <c r="H73" s="86"/>
      <c r="I73" s="102"/>
      <c r="J73" s="87"/>
      <c r="K73" s="86"/>
      <c r="L73" s="102"/>
      <c r="M73" s="87"/>
      <c r="N73" s="103"/>
    </row>
    <row r="74" s="58" customFormat="1" ht="13.5" spans="1:14">
      <c r="A74" s="78" t="s">
        <v>136</v>
      </c>
      <c r="B74" s="79">
        <v>22909</v>
      </c>
      <c r="C74" s="80" t="s">
        <v>974</v>
      </c>
      <c r="D74" s="81"/>
      <c r="E74" s="81"/>
      <c r="F74" s="81"/>
      <c r="G74" s="82"/>
      <c r="H74" s="93"/>
      <c r="I74" s="100"/>
      <c r="J74" s="82"/>
      <c r="K74" s="81"/>
      <c r="L74" s="100"/>
      <c r="M74" s="82"/>
      <c r="N74" s="101"/>
    </row>
    <row r="75" s="58" customFormat="1" ht="13.5" spans="1:14">
      <c r="A75" s="78" t="s">
        <v>136</v>
      </c>
      <c r="B75" s="79">
        <v>22960</v>
      </c>
      <c r="C75" s="80" t="s">
        <v>975</v>
      </c>
      <c r="D75" s="81">
        <f>SUM(D76:D86)</f>
        <v>1063</v>
      </c>
      <c r="E75" s="81">
        <f t="shared" ref="E75:F75" si="12">SUM(E76:E86)</f>
        <v>956</v>
      </c>
      <c r="F75" s="81">
        <f t="shared" si="12"/>
        <v>184</v>
      </c>
      <c r="G75" s="82">
        <f>F75/D75</f>
        <v>0.173095014111007</v>
      </c>
      <c r="H75" s="100">
        <f>SUM(H77:H86)</f>
        <v>165</v>
      </c>
      <c r="I75" s="100">
        <f>F75-H75</f>
        <v>19</v>
      </c>
      <c r="J75" s="82"/>
      <c r="K75" s="81">
        <f>SUM(K76:K86)</f>
        <v>1123</v>
      </c>
      <c r="L75" s="100">
        <f>K75-D75</f>
        <v>60</v>
      </c>
      <c r="M75" s="82">
        <v>0</v>
      </c>
      <c r="N75" s="101"/>
    </row>
    <row r="76" s="58" customFormat="1" ht="13.5" spans="1:14">
      <c r="A76" s="83" t="s">
        <v>138</v>
      </c>
      <c r="B76" s="84">
        <v>2296001</v>
      </c>
      <c r="C76" s="85" t="s">
        <v>976</v>
      </c>
      <c r="D76" s="86"/>
      <c r="E76" s="86"/>
      <c r="F76" s="86"/>
      <c r="G76" s="87"/>
      <c r="H76" s="86"/>
      <c r="I76" s="102"/>
      <c r="J76" s="87"/>
      <c r="K76" s="86"/>
      <c r="L76" s="102"/>
      <c r="M76" s="87"/>
      <c r="N76" s="103"/>
    </row>
    <row r="77" s="58" customFormat="1" ht="13.5" spans="1:14">
      <c r="A77" s="83" t="s">
        <v>138</v>
      </c>
      <c r="B77" s="84">
        <v>2296002</v>
      </c>
      <c r="C77" s="85" t="s">
        <v>977</v>
      </c>
      <c r="D77" s="86">
        <f>32+220+286</f>
        <v>538</v>
      </c>
      <c r="E77" s="86">
        <v>414</v>
      </c>
      <c r="F77" s="86">
        <v>163</v>
      </c>
      <c r="G77" s="87">
        <f>F77/D77</f>
        <v>0.302973977695167</v>
      </c>
      <c r="H77" s="86">
        <v>128</v>
      </c>
      <c r="I77" s="102">
        <f>F77-H77</f>
        <v>35</v>
      </c>
      <c r="J77" s="87"/>
      <c r="K77" s="86">
        <v>600</v>
      </c>
      <c r="L77" s="102">
        <f>K77-D77</f>
        <v>62</v>
      </c>
      <c r="M77" s="87">
        <v>0</v>
      </c>
      <c r="N77" s="103"/>
    </row>
    <row r="78" s="58" customFormat="1" ht="13.5" spans="1:14">
      <c r="A78" s="83" t="s">
        <v>138</v>
      </c>
      <c r="B78" s="84">
        <v>2296003</v>
      </c>
      <c r="C78" s="85" t="s">
        <v>978</v>
      </c>
      <c r="D78" s="86">
        <f>8+8</f>
        <v>16</v>
      </c>
      <c r="E78" s="86">
        <v>10</v>
      </c>
      <c r="F78" s="86">
        <v>7</v>
      </c>
      <c r="G78" s="87">
        <f>F78/D78</f>
        <v>0.4375</v>
      </c>
      <c r="H78" s="86">
        <v>2</v>
      </c>
      <c r="I78" s="102">
        <f>F78-H78</f>
        <v>5</v>
      </c>
      <c r="J78" s="87"/>
      <c r="K78" s="86">
        <v>15</v>
      </c>
      <c r="L78" s="102">
        <f>K78-D78</f>
        <v>-1</v>
      </c>
      <c r="M78" s="87">
        <v>0</v>
      </c>
      <c r="N78" s="103"/>
    </row>
    <row r="79" s="58" customFormat="1" ht="13.5" spans="1:14">
      <c r="A79" s="83" t="s">
        <v>138</v>
      </c>
      <c r="B79" s="84">
        <v>2296004</v>
      </c>
      <c r="C79" s="85" t="s">
        <v>979</v>
      </c>
      <c r="D79" s="86">
        <v>12</v>
      </c>
      <c r="E79" s="86">
        <v>12</v>
      </c>
      <c r="F79" s="86"/>
      <c r="G79" s="87"/>
      <c r="H79" s="86"/>
      <c r="I79" s="102"/>
      <c r="J79" s="87"/>
      <c r="K79" s="86">
        <v>12</v>
      </c>
      <c r="L79" s="102"/>
      <c r="M79" s="87"/>
      <c r="N79" s="103"/>
    </row>
    <row r="80" s="58" customFormat="1" ht="13.5" spans="1:14">
      <c r="A80" s="83" t="s">
        <v>138</v>
      </c>
      <c r="B80" s="84">
        <v>2296005</v>
      </c>
      <c r="C80" s="85" t="s">
        <v>980</v>
      </c>
      <c r="D80" s="86"/>
      <c r="E80" s="86"/>
      <c r="F80" s="86"/>
      <c r="G80" s="87"/>
      <c r="H80" s="86"/>
      <c r="I80" s="102"/>
      <c r="J80" s="87"/>
      <c r="K80" s="86"/>
      <c r="L80" s="102"/>
      <c r="M80" s="87"/>
      <c r="N80" s="103"/>
    </row>
    <row r="81" s="58" customFormat="1" ht="13.5" spans="1:14">
      <c r="A81" s="83" t="s">
        <v>138</v>
      </c>
      <c r="B81" s="84">
        <v>2296006</v>
      </c>
      <c r="C81" s="85" t="s">
        <v>981</v>
      </c>
      <c r="D81" s="86">
        <f>11+2+103</f>
        <v>116</v>
      </c>
      <c r="E81" s="86">
        <v>138</v>
      </c>
      <c r="F81" s="86">
        <v>14</v>
      </c>
      <c r="G81" s="87">
        <f>F81/D81</f>
        <v>0.120689655172414</v>
      </c>
      <c r="H81" s="86">
        <v>35</v>
      </c>
      <c r="I81" s="102">
        <f>F81-H81</f>
        <v>-21</v>
      </c>
      <c r="J81" s="87"/>
      <c r="K81" s="86">
        <v>115</v>
      </c>
      <c r="L81" s="102">
        <f>K81-D81</f>
        <v>-1</v>
      </c>
      <c r="M81" s="87">
        <v>0</v>
      </c>
      <c r="N81" s="103"/>
    </row>
    <row r="82" s="58" customFormat="1" ht="13.5" spans="1:14">
      <c r="A82" s="83" t="s">
        <v>138</v>
      </c>
      <c r="B82" s="84">
        <v>2296010</v>
      </c>
      <c r="C82" s="85" t="s">
        <v>982</v>
      </c>
      <c r="D82" s="86"/>
      <c r="E82" s="86"/>
      <c r="F82" s="86"/>
      <c r="G82" s="87"/>
      <c r="H82" s="86"/>
      <c r="I82" s="102"/>
      <c r="J82" s="87"/>
      <c r="K82" s="86"/>
      <c r="L82" s="102">
        <f>K82-D82</f>
        <v>0</v>
      </c>
      <c r="M82" s="87">
        <v>0</v>
      </c>
      <c r="N82" s="103"/>
    </row>
    <row r="83" s="58" customFormat="1" ht="13.5" spans="1:14">
      <c r="A83" s="83" t="s">
        <v>138</v>
      </c>
      <c r="B83" s="84">
        <v>2296011</v>
      </c>
      <c r="C83" s="85" t="s">
        <v>983</v>
      </c>
      <c r="D83" s="86"/>
      <c r="E83" s="86"/>
      <c r="F83" s="86"/>
      <c r="G83" s="87"/>
      <c r="H83" s="86"/>
      <c r="I83" s="102"/>
      <c r="J83" s="87"/>
      <c r="K83" s="86"/>
      <c r="L83" s="102"/>
      <c r="M83" s="87"/>
      <c r="N83" s="103"/>
    </row>
    <row r="84" s="58" customFormat="1" ht="13.5" spans="1:14">
      <c r="A84" s="83" t="s">
        <v>138</v>
      </c>
      <c r="B84" s="84">
        <v>2296012</v>
      </c>
      <c r="C84" s="85" t="s">
        <v>984</v>
      </c>
      <c r="D84" s="86"/>
      <c r="E84" s="86"/>
      <c r="F84" s="86"/>
      <c r="G84" s="87"/>
      <c r="H84" s="92"/>
      <c r="I84" s="102"/>
      <c r="J84" s="87"/>
      <c r="K84" s="86"/>
      <c r="L84" s="102"/>
      <c r="M84" s="87"/>
      <c r="N84" s="103"/>
    </row>
    <row r="85" s="58" customFormat="1" ht="13.5" spans="1:14">
      <c r="A85" s="83" t="s">
        <v>138</v>
      </c>
      <c r="B85" s="84">
        <v>2296013</v>
      </c>
      <c r="C85" s="85" t="s">
        <v>985</v>
      </c>
      <c r="D85" s="86">
        <v>148</v>
      </c>
      <c r="E85" s="86">
        <v>149</v>
      </c>
      <c r="F85" s="86"/>
      <c r="G85" s="87"/>
      <c r="H85" s="86"/>
      <c r="I85" s="102"/>
      <c r="J85" s="87"/>
      <c r="K85" s="86">
        <v>148</v>
      </c>
      <c r="L85" s="102"/>
      <c r="M85" s="87"/>
      <c r="N85" s="103"/>
    </row>
    <row r="86" s="58" customFormat="1" ht="13.5" spans="1:14">
      <c r="A86" s="83" t="s">
        <v>138</v>
      </c>
      <c r="B86" s="84">
        <v>2296099</v>
      </c>
      <c r="C86" s="85" t="s">
        <v>986</v>
      </c>
      <c r="D86" s="86">
        <v>233</v>
      </c>
      <c r="E86" s="86">
        <f>5+228</f>
        <v>233</v>
      </c>
      <c r="F86" s="86"/>
      <c r="G86" s="87"/>
      <c r="H86" s="86"/>
      <c r="I86" s="102"/>
      <c r="J86" s="87"/>
      <c r="K86" s="86">
        <v>233</v>
      </c>
      <c r="L86" s="102"/>
      <c r="M86" s="87"/>
      <c r="N86" s="103"/>
    </row>
    <row r="87" s="59" customFormat="1" ht="13.5" spans="1:14">
      <c r="A87" s="73" t="s">
        <v>134</v>
      </c>
      <c r="B87" s="74">
        <v>232</v>
      </c>
      <c r="C87" s="75" t="s">
        <v>987</v>
      </c>
      <c r="D87" s="76">
        <f>SUM(D88)</f>
        <v>3110</v>
      </c>
      <c r="E87" s="76">
        <f t="shared" ref="E87:F87" si="13">SUM(E88)</f>
        <v>2965</v>
      </c>
      <c r="F87" s="76">
        <f t="shared" si="13"/>
        <v>800</v>
      </c>
      <c r="G87" s="77">
        <f>F87/D87</f>
        <v>0.257234726688103</v>
      </c>
      <c r="H87" s="76"/>
      <c r="I87" s="98">
        <f t="shared" ref="I87:I92" si="14">F87-H87</f>
        <v>800</v>
      </c>
      <c r="J87" s="77"/>
      <c r="K87" s="76">
        <f>SUM(K88)</f>
        <v>3577</v>
      </c>
      <c r="L87" s="98">
        <f>K87-D87</f>
        <v>467</v>
      </c>
      <c r="M87" s="77">
        <v>0</v>
      </c>
      <c r="N87" s="99"/>
    </row>
    <row r="88" s="58" customFormat="1" ht="13.5" spans="1:14">
      <c r="A88" s="78" t="s">
        <v>136</v>
      </c>
      <c r="B88" s="79">
        <v>23204</v>
      </c>
      <c r="C88" s="80" t="s">
        <v>988</v>
      </c>
      <c r="D88" s="81">
        <f>D89</f>
        <v>3110</v>
      </c>
      <c r="E88" s="81">
        <f t="shared" ref="E88:F88" si="15">E89</f>
        <v>2965</v>
      </c>
      <c r="F88" s="81">
        <f t="shared" si="15"/>
        <v>800</v>
      </c>
      <c r="G88" s="82">
        <f>F88/D88</f>
        <v>0.257234726688103</v>
      </c>
      <c r="H88" s="81"/>
      <c r="I88" s="100">
        <f t="shared" si="14"/>
        <v>800</v>
      </c>
      <c r="J88" s="82"/>
      <c r="K88" s="81">
        <f>K89</f>
        <v>3577</v>
      </c>
      <c r="L88" s="100">
        <f>K88-D88</f>
        <v>467</v>
      </c>
      <c r="M88" s="82">
        <v>0</v>
      </c>
      <c r="N88" s="101"/>
    </row>
    <row r="89" s="58" customFormat="1" ht="13.5" spans="1:14">
      <c r="A89" s="83" t="s">
        <v>138</v>
      </c>
      <c r="B89" s="84">
        <v>2320498</v>
      </c>
      <c r="C89" s="85" t="s">
        <v>989</v>
      </c>
      <c r="D89" s="86">
        <v>3110</v>
      </c>
      <c r="E89" s="86">
        <v>2965</v>
      </c>
      <c r="F89" s="86">
        <v>800</v>
      </c>
      <c r="G89" s="87">
        <f>F89/D89</f>
        <v>0.257234726688103</v>
      </c>
      <c r="H89" s="86"/>
      <c r="I89" s="102">
        <f t="shared" si="14"/>
        <v>800</v>
      </c>
      <c r="J89" s="87"/>
      <c r="K89" s="86">
        <v>3577</v>
      </c>
      <c r="L89" s="102">
        <f>K89-D89</f>
        <v>467</v>
      </c>
      <c r="M89" s="87">
        <v>0</v>
      </c>
      <c r="N89" s="103"/>
    </row>
    <row r="90" s="59" customFormat="1" ht="13.5" spans="1:14">
      <c r="A90" s="73" t="s">
        <v>134</v>
      </c>
      <c r="B90" s="74">
        <v>233</v>
      </c>
      <c r="C90" s="75" t="s">
        <v>990</v>
      </c>
      <c r="D90" s="76"/>
      <c r="E90" s="76">
        <f t="shared" ref="E90:F90" si="16">SUM(E91)</f>
        <v>0</v>
      </c>
      <c r="F90" s="76">
        <f t="shared" si="16"/>
        <v>17</v>
      </c>
      <c r="G90" s="77"/>
      <c r="H90" s="76"/>
      <c r="I90" s="98">
        <f t="shared" si="14"/>
        <v>17</v>
      </c>
      <c r="J90" s="77"/>
      <c r="K90" s="76"/>
      <c r="L90" s="98"/>
      <c r="M90" s="77"/>
      <c r="N90" s="99"/>
    </row>
    <row r="91" s="58" customFormat="1" ht="13.5" spans="1:14">
      <c r="A91" s="78" t="s">
        <v>136</v>
      </c>
      <c r="B91" s="79">
        <v>23304</v>
      </c>
      <c r="C91" s="80" t="s">
        <v>991</v>
      </c>
      <c r="D91" s="81"/>
      <c r="E91" s="81">
        <f t="shared" ref="E91:F91" si="17">E92</f>
        <v>0</v>
      </c>
      <c r="F91" s="81">
        <f t="shared" si="17"/>
        <v>17</v>
      </c>
      <c r="G91" s="82"/>
      <c r="H91" s="81"/>
      <c r="I91" s="100">
        <f t="shared" si="14"/>
        <v>17</v>
      </c>
      <c r="J91" s="82"/>
      <c r="K91" s="81"/>
      <c r="L91" s="100"/>
      <c r="M91" s="82"/>
      <c r="N91" s="101"/>
    </row>
    <row r="92" s="58" customFormat="1" ht="13.5" spans="1:14">
      <c r="A92" s="83" t="s">
        <v>138</v>
      </c>
      <c r="B92" s="84">
        <v>2330498</v>
      </c>
      <c r="C92" s="85" t="s">
        <v>992</v>
      </c>
      <c r="D92" s="86"/>
      <c r="E92" s="86"/>
      <c r="F92" s="86">
        <v>17</v>
      </c>
      <c r="G92" s="87"/>
      <c r="H92" s="86"/>
      <c r="I92" s="102">
        <f t="shared" si="14"/>
        <v>17</v>
      </c>
      <c r="J92" s="87"/>
      <c r="K92" s="86"/>
      <c r="L92" s="102"/>
      <c r="M92" s="87"/>
      <c r="N92" s="103"/>
    </row>
    <row r="93" s="59" customFormat="1" ht="13.5" spans="1:14">
      <c r="A93" s="73" t="s">
        <v>134</v>
      </c>
      <c r="B93" s="74">
        <v>234</v>
      </c>
      <c r="C93" s="75" t="s">
        <v>993</v>
      </c>
      <c r="D93" s="76"/>
      <c r="E93" s="76"/>
      <c r="F93" s="76"/>
      <c r="G93" s="77"/>
      <c r="H93" s="76"/>
      <c r="I93" s="98"/>
      <c r="J93" s="77"/>
      <c r="K93" s="76"/>
      <c r="L93" s="98"/>
      <c r="M93" s="77"/>
      <c r="N93" s="99"/>
    </row>
    <row r="94" s="58" customFormat="1" ht="13.5" spans="1:14">
      <c r="A94" s="78" t="s">
        <v>136</v>
      </c>
      <c r="B94" s="79">
        <v>23401</v>
      </c>
      <c r="C94" s="80" t="s">
        <v>994</v>
      </c>
      <c r="D94" s="81"/>
      <c r="E94" s="81"/>
      <c r="F94" s="81"/>
      <c r="G94" s="82"/>
      <c r="H94" s="81"/>
      <c r="I94" s="100"/>
      <c r="J94" s="82"/>
      <c r="K94" s="81"/>
      <c r="L94" s="100"/>
      <c r="M94" s="82"/>
      <c r="N94" s="101"/>
    </row>
    <row r="95" spans="1:14">
      <c r="A95" s="83" t="s">
        <v>138</v>
      </c>
      <c r="B95" s="107">
        <v>2340199</v>
      </c>
      <c r="C95" s="85" t="s">
        <v>995</v>
      </c>
      <c r="D95" s="86"/>
      <c r="E95" s="86"/>
      <c r="F95" s="86"/>
      <c r="G95" s="87"/>
      <c r="H95" s="92"/>
      <c r="I95" s="102"/>
      <c r="J95" s="87"/>
      <c r="K95" s="86"/>
      <c r="L95" s="102"/>
      <c r="M95" s="87"/>
      <c r="N95" s="103"/>
    </row>
    <row r="96" spans="1:14">
      <c r="A96" s="78" t="s">
        <v>136</v>
      </c>
      <c r="B96" s="108">
        <v>23402</v>
      </c>
      <c r="C96" s="80" t="s">
        <v>996</v>
      </c>
      <c r="D96" s="81"/>
      <c r="E96" s="81"/>
      <c r="F96" s="81"/>
      <c r="G96" s="82"/>
      <c r="H96" s="81"/>
      <c r="I96" s="100"/>
      <c r="J96" s="82"/>
      <c r="K96" s="81"/>
      <c r="L96" s="100"/>
      <c r="M96" s="82"/>
      <c r="N96" s="101"/>
    </row>
    <row r="97" spans="1:14">
      <c r="A97" s="83" t="s">
        <v>138</v>
      </c>
      <c r="B97" s="107">
        <v>2340299</v>
      </c>
      <c r="C97" s="85" t="s">
        <v>997</v>
      </c>
      <c r="D97" s="86"/>
      <c r="E97" s="86"/>
      <c r="F97" s="86"/>
      <c r="G97" s="87"/>
      <c r="H97" s="86"/>
      <c r="I97" s="102"/>
      <c r="J97" s="87"/>
      <c r="K97" s="86"/>
      <c r="L97" s="102"/>
      <c r="M97" s="87"/>
      <c r="N97" s="103"/>
    </row>
    <row r="98" s="60" customFormat="1" spans="1:14">
      <c r="A98" s="109" t="s">
        <v>734</v>
      </c>
      <c r="B98" s="110"/>
      <c r="C98" s="111" t="s">
        <v>998</v>
      </c>
      <c r="D98" s="76">
        <f>SUM(D7,D9,D17,D20,D42,D53,D63,D65,D67,D87,D90,D93)</f>
        <v>11005</v>
      </c>
      <c r="E98" s="76">
        <f t="shared" ref="E98:F98" si="18">SUM(E7,E9,E17,E20,E42,E53,E63,E65,E67,E87,E90,E93)</f>
        <v>7415</v>
      </c>
      <c r="F98" s="76">
        <f t="shared" si="18"/>
        <v>19196</v>
      </c>
      <c r="G98" s="88">
        <f>F98/D98</f>
        <v>1.74429804634257</v>
      </c>
      <c r="H98" s="76">
        <f>SUM(H7,H9,H17,H20,H42,H53,H63,H65,H67,H87,H90,H93)</f>
        <v>1435</v>
      </c>
      <c r="I98" s="98">
        <f>F98-H98</f>
        <v>17761</v>
      </c>
      <c r="J98" s="77"/>
      <c r="K98" s="76">
        <f>SUM(K7,K9,K17,K20,K42,K53,K63,K65,K67,K87,K90,K93)</f>
        <v>15445</v>
      </c>
      <c r="L98" s="77">
        <f>K98/D98</f>
        <v>1.40345297592004</v>
      </c>
      <c r="M98" s="77">
        <v>0</v>
      </c>
      <c r="N98" s="99"/>
    </row>
    <row r="99" s="60" customFormat="1" spans="1:14">
      <c r="A99" s="109" t="s">
        <v>734</v>
      </c>
      <c r="B99" s="110"/>
      <c r="C99" s="111" t="s">
        <v>736</v>
      </c>
      <c r="D99" s="76">
        <f>SUM(D100:D105)</f>
        <v>0</v>
      </c>
      <c r="E99" s="76">
        <f t="shared" ref="E99:F99" si="19">SUM(E100:E105)</f>
        <v>0</v>
      </c>
      <c r="F99" s="76">
        <f t="shared" si="19"/>
        <v>11420</v>
      </c>
      <c r="G99" s="77"/>
      <c r="H99" s="112">
        <v>7852</v>
      </c>
      <c r="I99" s="98"/>
      <c r="J99" s="77"/>
      <c r="K99" s="76"/>
      <c r="L99" s="98"/>
      <c r="M99" s="77"/>
      <c r="N99" s="99"/>
    </row>
    <row r="100" s="61" customFormat="1" hidden="1" spans="1:14">
      <c r="A100" s="113" t="s">
        <v>999</v>
      </c>
      <c r="B100" s="114"/>
      <c r="C100" s="115" t="s">
        <v>1000</v>
      </c>
      <c r="D100" s="112"/>
      <c r="E100" s="112"/>
      <c r="F100" s="112"/>
      <c r="G100" s="116"/>
      <c r="H100" s="112"/>
      <c r="I100" s="119"/>
      <c r="J100" s="116"/>
      <c r="K100" s="112"/>
      <c r="L100" s="119"/>
      <c r="M100" s="116"/>
      <c r="N100" s="120"/>
    </row>
    <row r="101" s="61" customFormat="1" hidden="1" spans="1:14">
      <c r="A101" s="113" t="s">
        <v>999</v>
      </c>
      <c r="B101" s="114"/>
      <c r="C101" s="115" t="s">
        <v>1001</v>
      </c>
      <c r="D101" s="112"/>
      <c r="E101" s="112"/>
      <c r="F101" s="112"/>
      <c r="G101" s="116"/>
      <c r="H101" s="112"/>
      <c r="I101" s="119"/>
      <c r="J101" s="116"/>
      <c r="K101" s="112"/>
      <c r="L101" s="119"/>
      <c r="M101" s="116"/>
      <c r="N101" s="121"/>
    </row>
    <row r="102" s="61" customFormat="1" hidden="1" spans="1:14">
      <c r="A102" s="113" t="s">
        <v>999</v>
      </c>
      <c r="B102" s="114"/>
      <c r="C102" s="115" t="s">
        <v>1002</v>
      </c>
      <c r="D102" s="112"/>
      <c r="E102" s="112"/>
      <c r="F102" s="112"/>
      <c r="G102" s="116"/>
      <c r="H102" s="112"/>
      <c r="I102" s="119"/>
      <c r="J102" s="116"/>
      <c r="K102" s="112"/>
      <c r="L102" s="119"/>
      <c r="M102" s="116"/>
      <c r="N102" s="120"/>
    </row>
    <row r="103" s="61" customFormat="1" hidden="1" spans="1:14">
      <c r="A103" s="113" t="s">
        <v>999</v>
      </c>
      <c r="B103" s="114"/>
      <c r="C103" s="115" t="s">
        <v>865</v>
      </c>
      <c r="D103" s="112"/>
      <c r="E103" s="112"/>
      <c r="F103" s="112"/>
      <c r="G103" s="116"/>
      <c r="H103" s="76"/>
      <c r="I103" s="119"/>
      <c r="J103" s="116"/>
      <c r="K103" s="112"/>
      <c r="L103" s="119"/>
      <c r="M103" s="116"/>
      <c r="N103" s="120"/>
    </row>
    <row r="104" s="61" customFormat="1" hidden="1" spans="1:14">
      <c r="A104" s="113" t="s">
        <v>999</v>
      </c>
      <c r="B104" s="114"/>
      <c r="C104" s="115" t="s">
        <v>1003</v>
      </c>
      <c r="D104" s="112"/>
      <c r="E104" s="112"/>
      <c r="F104" s="112"/>
      <c r="G104" s="116"/>
      <c r="H104" s="112"/>
      <c r="I104" s="119"/>
      <c r="J104" s="116"/>
      <c r="K104" s="112"/>
      <c r="L104" s="119"/>
      <c r="M104" s="116"/>
      <c r="N104" s="120"/>
    </row>
    <row r="105" spans="1:14">
      <c r="A105" s="117" t="s">
        <v>999</v>
      </c>
      <c r="B105" s="107"/>
      <c r="C105" s="118" t="s">
        <v>1004</v>
      </c>
      <c r="D105" s="86"/>
      <c r="E105" s="86"/>
      <c r="F105" s="86">
        <v>11420</v>
      </c>
      <c r="G105" s="87"/>
      <c r="H105" s="86">
        <v>7852</v>
      </c>
      <c r="I105" s="102"/>
      <c r="J105" s="87"/>
      <c r="K105" s="86"/>
      <c r="L105" s="102"/>
      <c r="M105" s="87"/>
      <c r="N105" s="103"/>
    </row>
    <row r="106" s="60" customFormat="1" spans="1:14">
      <c r="A106" s="109" t="s">
        <v>734</v>
      </c>
      <c r="B106" s="110"/>
      <c r="C106" s="111" t="s">
        <v>123</v>
      </c>
      <c r="D106" s="76">
        <f>SUM(D98,D99)</f>
        <v>11005</v>
      </c>
      <c r="E106" s="76">
        <f>SUM(E98,E99)</f>
        <v>7415</v>
      </c>
      <c r="F106" s="76">
        <f>SUM(F98,F99)</f>
        <v>30616</v>
      </c>
      <c r="G106" s="77"/>
      <c r="H106" s="76">
        <v>9287</v>
      </c>
      <c r="I106" s="98"/>
      <c r="J106" s="77"/>
      <c r="K106" s="76">
        <f>SUM(K98,K99)</f>
        <v>15445</v>
      </c>
      <c r="L106" s="98"/>
      <c r="M106" s="77"/>
      <c r="N106" s="99"/>
    </row>
    <row r="109" spans="11:11">
      <c r="K109" s="122"/>
    </row>
  </sheetData>
  <autoFilter ref="A6:N106">
    <extLst/>
  </autoFilter>
  <mergeCells count="15">
    <mergeCell ref="C2:N2"/>
    <mergeCell ref="E4:J4"/>
    <mergeCell ref="K4:M4"/>
    <mergeCell ref="I5:J5"/>
    <mergeCell ref="L5:M5"/>
    <mergeCell ref="A4:A6"/>
    <mergeCell ref="B4:B6"/>
    <mergeCell ref="C4:C6"/>
    <mergeCell ref="D5:D6"/>
    <mergeCell ref="E5:E6"/>
    <mergeCell ref="F5:F6"/>
    <mergeCell ref="G5:G6"/>
    <mergeCell ref="H5:H6"/>
    <mergeCell ref="K5:K6"/>
    <mergeCell ref="N4:N6"/>
  </mergeCells>
  <printOptions horizontalCentered="1"/>
  <pageMargins left="0.751388888888889" right="0.751388888888889" top="0.747916666666667" bottom="0.786805555555556" header="0.156944444444444" footer="0.118055555555556"/>
  <pageSetup paperSize="9" scale="77" fitToHeight="0" orientation="landscape" blackAndWhite="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K14"/>
  <sheetViews>
    <sheetView workbookViewId="0">
      <selection activeCell="I18" sqref="I18"/>
    </sheetView>
  </sheetViews>
  <sheetFormatPr defaultColWidth="26" defaultRowHeight="30" customHeight="1"/>
  <cols>
    <col min="1" max="1" width="46.2166666666667" customWidth="1"/>
    <col min="2" max="2" width="8.10833333333333" customWidth="1"/>
    <col min="3" max="3" width="8.66666666666667" hidden="1" customWidth="1"/>
    <col min="4" max="11" width="10.6666666666667" customWidth="1"/>
    <col min="12" max="12" width="26" customWidth="1"/>
  </cols>
  <sheetData>
    <row r="1" ht="13.5" spans="1:1">
      <c r="A1" t="s">
        <v>1005</v>
      </c>
    </row>
    <row r="2" customHeight="1" spans="1:11">
      <c r="A2" s="25" t="s">
        <v>1006</v>
      </c>
      <c r="B2" s="25"/>
      <c r="C2" s="25"/>
      <c r="D2" s="25"/>
      <c r="E2" s="25"/>
      <c r="F2" s="25"/>
      <c r="G2" s="25"/>
      <c r="H2" s="25"/>
      <c r="I2" s="25"/>
      <c r="J2" s="25"/>
      <c r="K2" s="25"/>
    </row>
    <row r="3" ht="27" spans="1:11">
      <c r="A3" s="26"/>
      <c r="B3" s="26"/>
      <c r="C3" s="26"/>
      <c r="D3" s="26"/>
      <c r="E3" s="26"/>
      <c r="F3" s="26"/>
      <c r="G3" s="26"/>
      <c r="H3" s="26"/>
      <c r="I3" s="26"/>
      <c r="J3" s="26"/>
      <c r="K3" s="49" t="s">
        <v>2</v>
      </c>
    </row>
    <row r="4" ht="22.95" customHeight="1" spans="1:11">
      <c r="A4" s="27" t="s">
        <v>3</v>
      </c>
      <c r="B4" s="27"/>
      <c r="C4" s="28" t="s">
        <v>4</v>
      </c>
      <c r="D4" s="28"/>
      <c r="E4" s="28"/>
      <c r="F4" s="28"/>
      <c r="G4" s="28"/>
      <c r="H4" s="29"/>
      <c r="I4" s="50" t="s">
        <v>5</v>
      </c>
      <c r="J4" s="33"/>
      <c r="K4" s="33"/>
    </row>
    <row r="5" ht="22.95" customHeight="1" spans="1:11">
      <c r="A5" s="27"/>
      <c r="B5" s="52" t="s">
        <v>132</v>
      </c>
      <c r="C5" s="30" t="s">
        <v>8</v>
      </c>
      <c r="D5" s="53" t="s">
        <v>9</v>
      </c>
      <c r="E5" s="32" t="s">
        <v>10</v>
      </c>
      <c r="F5" s="33" t="s">
        <v>882</v>
      </c>
      <c r="G5" s="33" t="s">
        <v>12</v>
      </c>
      <c r="H5" s="34"/>
      <c r="I5" s="50" t="s">
        <v>13</v>
      </c>
      <c r="J5" s="33" t="s">
        <v>14</v>
      </c>
      <c r="K5" s="33"/>
    </row>
    <row r="6" ht="22.95" customHeight="1" spans="1:11">
      <c r="A6" s="27"/>
      <c r="B6" s="52"/>
      <c r="C6" s="35"/>
      <c r="D6" s="53"/>
      <c r="E6" s="36"/>
      <c r="F6" s="33"/>
      <c r="G6" s="31" t="s">
        <v>15</v>
      </c>
      <c r="H6" s="37" t="s">
        <v>16</v>
      </c>
      <c r="I6" s="50"/>
      <c r="J6" s="31" t="s">
        <v>15</v>
      </c>
      <c r="K6" s="37" t="s">
        <v>16</v>
      </c>
    </row>
    <row r="7" ht="22.95" customHeight="1" spans="1:11">
      <c r="A7" s="38" t="s">
        <v>1007</v>
      </c>
      <c r="B7" s="54">
        <f>SUM(B8:B14)</f>
        <v>8342</v>
      </c>
      <c r="C7" s="54">
        <f t="shared" ref="C7:F7" si="0">SUM(C8:C14)</f>
        <v>7729</v>
      </c>
      <c r="D7" s="54">
        <f t="shared" si="0"/>
        <v>7879</v>
      </c>
      <c r="E7" s="55">
        <f>D7/B7</f>
        <v>0.944497722368737</v>
      </c>
      <c r="F7" s="54">
        <f t="shared" si="0"/>
        <v>8545</v>
      </c>
      <c r="G7" s="54">
        <f>D7-F7</f>
        <v>-666</v>
      </c>
      <c r="H7" s="55">
        <f>G7/F7</f>
        <v>-0.077940315974254</v>
      </c>
      <c r="I7" s="54">
        <f>SUM(I8:I14)</f>
        <v>8324</v>
      </c>
      <c r="J7" s="54">
        <f>I7-D7</f>
        <v>445</v>
      </c>
      <c r="K7" s="55">
        <f>J7/D7</f>
        <v>0.0564792486356137</v>
      </c>
    </row>
    <row r="8" ht="22.95" customHeight="1" spans="1:11">
      <c r="A8" s="42" t="s">
        <v>1008</v>
      </c>
      <c r="B8" s="51"/>
      <c r="C8" s="51"/>
      <c r="D8" s="51"/>
      <c r="E8" s="56"/>
      <c r="F8" s="51"/>
      <c r="G8" s="51"/>
      <c r="H8" s="56"/>
      <c r="I8" s="51"/>
      <c r="J8" s="51"/>
      <c r="K8" s="56"/>
    </row>
    <row r="9" ht="22.95" customHeight="1" spans="1:11">
      <c r="A9" s="45" t="s">
        <v>1009</v>
      </c>
      <c r="B9" s="51">
        <v>5278</v>
      </c>
      <c r="C9" s="51">
        <v>4399</v>
      </c>
      <c r="D9" s="51">
        <v>4406</v>
      </c>
      <c r="E9" s="56">
        <f>D9/B9</f>
        <v>0.834785903751421</v>
      </c>
      <c r="F9" s="51">
        <v>6161</v>
      </c>
      <c r="G9" s="51">
        <f>D9-F9</f>
        <v>-1755</v>
      </c>
      <c r="H9" s="56">
        <f>G9/F9</f>
        <v>-0.284856354487908</v>
      </c>
      <c r="I9" s="51">
        <v>4557</v>
      </c>
      <c r="J9" s="51">
        <f>I9-D9</f>
        <v>151</v>
      </c>
      <c r="K9" s="56">
        <f>J9/D9</f>
        <v>0.0342714480254199</v>
      </c>
    </row>
    <row r="10" ht="22.95" customHeight="1" spans="1:11">
      <c r="A10" s="45" t="s">
        <v>1010</v>
      </c>
      <c r="B10" s="51">
        <v>3064</v>
      </c>
      <c r="C10" s="51">
        <v>3330</v>
      </c>
      <c r="D10" s="51">
        <v>3473</v>
      </c>
      <c r="E10" s="56">
        <f>D10/B10</f>
        <v>1.13348563968668</v>
      </c>
      <c r="F10" s="51">
        <v>2384</v>
      </c>
      <c r="G10" s="51">
        <f>D10-F10</f>
        <v>1089</v>
      </c>
      <c r="H10" s="56">
        <f>G10/F10</f>
        <v>0.456795302013423</v>
      </c>
      <c r="I10" s="51">
        <v>3767</v>
      </c>
      <c r="J10" s="51">
        <f>I10-D10</f>
        <v>294</v>
      </c>
      <c r="K10" s="56">
        <f>J10/D10</f>
        <v>0.0846530377195508</v>
      </c>
    </row>
    <row r="11" ht="33" customHeight="1" spans="1:11">
      <c r="A11" s="45" t="s">
        <v>1011</v>
      </c>
      <c r="B11" s="45"/>
      <c r="C11" s="57"/>
      <c r="D11" s="57"/>
      <c r="E11" s="57"/>
      <c r="F11" s="57"/>
      <c r="G11" s="57"/>
      <c r="H11" s="57"/>
      <c r="I11" s="57"/>
      <c r="J11" s="57"/>
      <c r="K11" s="57"/>
    </row>
    <row r="12" ht="22.95" customHeight="1" spans="1:11">
      <c r="A12" s="45" t="s">
        <v>1012</v>
      </c>
      <c r="B12" s="45"/>
      <c r="C12" s="57"/>
      <c r="D12" s="57"/>
      <c r="E12" s="57"/>
      <c r="F12" s="57"/>
      <c r="G12" s="57"/>
      <c r="H12" s="57"/>
      <c r="I12" s="57"/>
      <c r="J12" s="57"/>
      <c r="K12" s="57"/>
    </row>
    <row r="13" ht="22.95" customHeight="1" spans="1:11">
      <c r="A13" s="45" t="s">
        <v>1013</v>
      </c>
      <c r="B13" s="45"/>
      <c r="C13" s="57"/>
      <c r="D13" s="57"/>
      <c r="E13" s="57"/>
      <c r="F13" s="57"/>
      <c r="G13" s="57"/>
      <c r="H13" s="57"/>
      <c r="I13" s="57"/>
      <c r="J13" s="57"/>
      <c r="K13" s="57"/>
    </row>
    <row r="14" ht="22.95" customHeight="1" spans="1:11">
      <c r="A14" s="45" t="s">
        <v>1014</v>
      </c>
      <c r="B14" s="45"/>
      <c r="C14" s="57"/>
      <c r="D14" s="57"/>
      <c r="E14" s="57"/>
      <c r="F14" s="57"/>
      <c r="G14" s="57"/>
      <c r="H14" s="57"/>
      <c r="I14" s="57"/>
      <c r="J14" s="57"/>
      <c r="K14" s="57"/>
    </row>
  </sheetData>
  <mergeCells count="12">
    <mergeCell ref="A2:K2"/>
    <mergeCell ref="C4:H4"/>
    <mergeCell ref="I4:K4"/>
    <mergeCell ref="G5:H5"/>
    <mergeCell ref="J5:K5"/>
    <mergeCell ref="A4:A6"/>
    <mergeCell ref="B5:B6"/>
    <mergeCell ref="C5:C6"/>
    <mergeCell ref="D5:D6"/>
    <mergeCell ref="E5:E6"/>
    <mergeCell ref="F5:F6"/>
    <mergeCell ref="I5:I6"/>
  </mergeCells>
  <pageMargins left="0.75" right="0.75" top="1" bottom="1" header="0.5" footer="0.5"/>
  <pageSetup paperSize="9" scale="9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30"/>
  <sheetViews>
    <sheetView topLeftCell="A21" workbookViewId="0">
      <selection activeCell="M24" sqref="M24"/>
    </sheetView>
  </sheetViews>
  <sheetFormatPr defaultColWidth="36.4416666666667" defaultRowHeight="13.5"/>
  <cols>
    <col min="1" max="1" width="64.2166666666667" customWidth="1"/>
    <col min="2" max="2" width="9.66666666666667" customWidth="1"/>
    <col min="3" max="3" width="9.66666666666667" hidden="1" customWidth="1"/>
    <col min="4" max="11" width="9.66666666666667" customWidth="1"/>
    <col min="12" max="12" width="36.4416666666667" customWidth="1"/>
  </cols>
  <sheetData>
    <row r="1" ht="14.25" spans="1:11">
      <c r="A1" s="24" t="s">
        <v>1015</v>
      </c>
      <c r="B1" s="24"/>
      <c r="C1" s="24"/>
      <c r="D1" s="24"/>
      <c r="E1" s="24"/>
      <c r="F1" s="24"/>
      <c r="G1" s="24"/>
      <c r="H1" s="24"/>
      <c r="I1" s="24"/>
      <c r="J1" s="24"/>
      <c r="K1" s="24"/>
    </row>
    <row r="2" ht="31.5" spans="1:11">
      <c r="A2" s="25" t="s">
        <v>1016</v>
      </c>
      <c r="B2" s="25"/>
      <c r="C2" s="25"/>
      <c r="D2" s="25"/>
      <c r="E2" s="25"/>
      <c r="F2" s="25"/>
      <c r="G2" s="25"/>
      <c r="H2" s="25"/>
      <c r="I2" s="25"/>
      <c r="J2" s="25"/>
      <c r="K2" s="25"/>
    </row>
    <row r="3" ht="27" spans="1:11">
      <c r="A3" s="26"/>
      <c r="B3" s="26"/>
      <c r="C3" s="26"/>
      <c r="D3" s="26"/>
      <c r="E3" s="26"/>
      <c r="F3" s="26"/>
      <c r="G3" s="26"/>
      <c r="H3" s="26"/>
      <c r="I3" s="26"/>
      <c r="J3" s="26"/>
      <c r="K3" s="49" t="s">
        <v>2</v>
      </c>
    </row>
    <row r="4" spans="1:11">
      <c r="A4" s="27" t="s">
        <v>3</v>
      </c>
      <c r="B4" s="27"/>
      <c r="C4" s="28" t="s">
        <v>4</v>
      </c>
      <c r="D4" s="28"/>
      <c r="E4" s="28"/>
      <c r="F4" s="28"/>
      <c r="G4" s="28"/>
      <c r="H4" s="29"/>
      <c r="I4" s="50" t="s">
        <v>5</v>
      </c>
      <c r="J4" s="33"/>
      <c r="K4" s="33"/>
    </row>
    <row r="5" spans="1:11">
      <c r="A5" s="27"/>
      <c r="B5" s="27" t="s">
        <v>132</v>
      </c>
      <c r="C5" s="30" t="s">
        <v>1017</v>
      </c>
      <c r="D5" s="31" t="s">
        <v>9</v>
      </c>
      <c r="E5" s="32" t="s">
        <v>10</v>
      </c>
      <c r="F5" s="33" t="s">
        <v>882</v>
      </c>
      <c r="G5" s="33" t="s">
        <v>12</v>
      </c>
      <c r="H5" s="34"/>
      <c r="I5" s="50" t="s">
        <v>13</v>
      </c>
      <c r="J5" s="33" t="s">
        <v>14</v>
      </c>
      <c r="K5" s="33"/>
    </row>
    <row r="6" ht="14.25" spans="1:11">
      <c r="A6" s="27"/>
      <c r="B6" s="27"/>
      <c r="C6" s="35"/>
      <c r="D6" s="31"/>
      <c r="E6" s="36"/>
      <c r="F6" s="33"/>
      <c r="G6" s="31" t="s">
        <v>15</v>
      </c>
      <c r="H6" s="37" t="s">
        <v>16</v>
      </c>
      <c r="I6" s="50"/>
      <c r="J6" s="31" t="s">
        <v>15</v>
      </c>
      <c r="K6" s="37" t="s">
        <v>16</v>
      </c>
    </row>
    <row r="7" ht="18" customHeight="1" spans="1:11">
      <c r="A7" s="38" t="s">
        <v>1018</v>
      </c>
      <c r="B7" s="39">
        <f>SUM(B8:B14)</f>
        <v>6564</v>
      </c>
      <c r="C7" s="39">
        <f>SUM(C8:C14)</f>
        <v>6390</v>
      </c>
      <c r="D7" s="39">
        <f t="shared" ref="D7:G7" si="0">SUM(D8:D14)</f>
        <v>6551</v>
      </c>
      <c r="E7" s="40">
        <f>D7/B7</f>
        <v>0.998019500304692</v>
      </c>
      <c r="F7" s="39">
        <f>SUM(F8:F14)</f>
        <v>5725</v>
      </c>
      <c r="G7" s="39">
        <f t="shared" si="0"/>
        <v>826</v>
      </c>
      <c r="H7" s="41">
        <f t="shared" ref="H7:H10" si="1">G7/F7</f>
        <v>0.144279475982533</v>
      </c>
      <c r="I7" s="39">
        <f>SUM(I8:I14)</f>
        <v>6884</v>
      </c>
      <c r="J7" s="39">
        <f>SUM(J8:J14)</f>
        <v>333</v>
      </c>
      <c r="K7" s="41">
        <f t="shared" ref="K7:K10" si="2">J7/D7</f>
        <v>0.0508319340558693</v>
      </c>
    </row>
    <row r="8" ht="18" customHeight="1" spans="1:11">
      <c r="A8" s="42" t="s">
        <v>1019</v>
      </c>
      <c r="B8" s="43"/>
      <c r="C8" s="43"/>
      <c r="D8" s="43"/>
      <c r="E8" s="40"/>
      <c r="F8" s="43"/>
      <c r="G8" s="43"/>
      <c r="H8" s="44"/>
      <c r="I8" s="43"/>
      <c r="J8" s="43"/>
      <c r="K8" s="44"/>
    </row>
    <row r="9" ht="18" customHeight="1" spans="1:11">
      <c r="A9" s="45" t="s">
        <v>1020</v>
      </c>
      <c r="B9" s="43">
        <v>4341</v>
      </c>
      <c r="C9" s="43">
        <v>4396</v>
      </c>
      <c r="D9" s="43">
        <f>4438+1</f>
        <v>4439</v>
      </c>
      <c r="E9" s="46">
        <f>D9/B9</f>
        <v>1.02257544344621</v>
      </c>
      <c r="F9" s="43">
        <v>3900</v>
      </c>
      <c r="G9" s="43">
        <f t="shared" ref="G9:G22" si="3">D9-F9</f>
        <v>539</v>
      </c>
      <c r="H9" s="44">
        <f t="shared" si="1"/>
        <v>0.138205128205128</v>
      </c>
      <c r="I9" s="43">
        <v>4554</v>
      </c>
      <c r="J9" s="43">
        <f t="shared" ref="J9:J22" si="4">I9-D9</f>
        <v>115</v>
      </c>
      <c r="K9" s="44">
        <f t="shared" si="2"/>
        <v>0.0259067357512953</v>
      </c>
    </row>
    <row r="10" ht="18" customHeight="1" spans="1:11">
      <c r="A10" s="45" t="s">
        <v>1021</v>
      </c>
      <c r="B10" s="43">
        <v>2223</v>
      </c>
      <c r="C10" s="43">
        <v>1994</v>
      </c>
      <c r="D10" s="43">
        <f>2111+1</f>
        <v>2112</v>
      </c>
      <c r="E10" s="46">
        <f>D10/B10</f>
        <v>0.950067476383266</v>
      </c>
      <c r="F10" s="43">
        <v>1825</v>
      </c>
      <c r="G10" s="43">
        <f t="shared" si="3"/>
        <v>287</v>
      </c>
      <c r="H10" s="44">
        <f t="shared" si="1"/>
        <v>0.157260273972603</v>
      </c>
      <c r="I10" s="43">
        <v>2330</v>
      </c>
      <c r="J10" s="43">
        <f t="shared" si="4"/>
        <v>218</v>
      </c>
      <c r="K10" s="44">
        <f t="shared" si="2"/>
        <v>0.103219696969697</v>
      </c>
    </row>
    <row r="11" ht="14.25" spans="1:11">
      <c r="A11" s="45" t="s">
        <v>1022</v>
      </c>
      <c r="B11" s="43"/>
      <c r="C11" s="43"/>
      <c r="D11" s="43"/>
      <c r="E11" s="46"/>
      <c r="F11" s="43"/>
      <c r="G11" s="43"/>
      <c r="H11" s="44"/>
      <c r="I11" s="43"/>
      <c r="J11" s="43"/>
      <c r="K11" s="44"/>
    </row>
    <row r="12" ht="18" customHeight="1" spans="1:11">
      <c r="A12" s="45" t="s">
        <v>1023</v>
      </c>
      <c r="B12" s="43"/>
      <c r="C12" s="43"/>
      <c r="D12" s="43"/>
      <c r="E12" s="46"/>
      <c r="F12" s="43"/>
      <c r="G12" s="43"/>
      <c r="H12" s="44"/>
      <c r="I12" s="43"/>
      <c r="J12" s="43"/>
      <c r="K12" s="44"/>
    </row>
    <row r="13" ht="18" customHeight="1" spans="1:11">
      <c r="A13" s="45" t="s">
        <v>1024</v>
      </c>
      <c r="B13" s="43"/>
      <c r="C13" s="43"/>
      <c r="D13" s="43"/>
      <c r="E13" s="46"/>
      <c r="F13" s="43"/>
      <c r="G13" s="43"/>
      <c r="H13" s="44"/>
      <c r="I13" s="43"/>
      <c r="J13" s="43"/>
      <c r="K13" s="44"/>
    </row>
    <row r="14" ht="18" customHeight="1" spans="1:11">
      <c r="A14" s="45" t="s">
        <v>1025</v>
      </c>
      <c r="B14" s="43"/>
      <c r="C14" s="43"/>
      <c r="D14" s="43"/>
      <c r="E14" s="46"/>
      <c r="F14" s="43"/>
      <c r="G14" s="43"/>
      <c r="H14" s="44"/>
      <c r="I14" s="43"/>
      <c r="J14" s="43"/>
      <c r="K14" s="44"/>
    </row>
    <row r="15" ht="18" customHeight="1" spans="1:11">
      <c r="A15" s="47" t="s">
        <v>1026</v>
      </c>
      <c r="B15" s="39">
        <f t="shared" ref="B15:D16" si="5">B19+B21</f>
        <v>1778</v>
      </c>
      <c r="C15" s="39">
        <f t="shared" si="5"/>
        <v>1338</v>
      </c>
      <c r="D15" s="39">
        <f t="shared" si="5"/>
        <v>1328</v>
      </c>
      <c r="E15" s="40">
        <f>D15/B15</f>
        <v>0.746906636670416</v>
      </c>
      <c r="F15" s="39">
        <f>F19+F21</f>
        <v>2819</v>
      </c>
      <c r="G15" s="39">
        <f t="shared" si="3"/>
        <v>-1491</v>
      </c>
      <c r="H15" s="41">
        <f t="shared" ref="H15:H22" si="6">G15/F15</f>
        <v>-0.528910961333806</v>
      </c>
      <c r="I15" s="39">
        <f>I19+I21</f>
        <v>1440</v>
      </c>
      <c r="J15" s="39">
        <f t="shared" si="4"/>
        <v>112</v>
      </c>
      <c r="K15" s="41">
        <f t="shared" ref="K15:K22" si="7">J15/D15</f>
        <v>0.0843373493975904</v>
      </c>
    </row>
    <row r="16" ht="18" customHeight="1" spans="1:11">
      <c r="A16" s="47" t="s">
        <v>1027</v>
      </c>
      <c r="B16" s="39">
        <f t="shared" si="5"/>
        <v>11802</v>
      </c>
      <c r="C16" s="39">
        <f t="shared" si="5"/>
        <v>11352</v>
      </c>
      <c r="D16" s="39">
        <f t="shared" si="5"/>
        <v>11342</v>
      </c>
      <c r="E16" s="40">
        <f t="shared" ref="E16:E22" si="8">D16/B16</f>
        <v>0.961023555329605</v>
      </c>
      <c r="F16" s="39">
        <f>F20+F22</f>
        <v>10014</v>
      </c>
      <c r="G16" s="39">
        <f t="shared" si="3"/>
        <v>1328</v>
      </c>
      <c r="H16" s="41">
        <f t="shared" si="6"/>
        <v>0.132614339924106</v>
      </c>
      <c r="I16" s="39">
        <f>I20+I22</f>
        <v>12782</v>
      </c>
      <c r="J16" s="39">
        <f t="shared" si="4"/>
        <v>1440</v>
      </c>
      <c r="K16" s="41">
        <f t="shared" si="7"/>
        <v>0.126961735143714</v>
      </c>
    </row>
    <row r="17" ht="18" customHeight="1" spans="1:11">
      <c r="A17" s="45" t="s">
        <v>1028</v>
      </c>
      <c r="B17" s="43"/>
      <c r="C17" s="43"/>
      <c r="D17" s="43"/>
      <c r="E17" s="40"/>
      <c r="F17" s="43"/>
      <c r="G17" s="43"/>
      <c r="H17" s="44"/>
      <c r="I17" s="43"/>
      <c r="J17" s="43"/>
      <c r="K17" s="44"/>
    </row>
    <row r="18" ht="18" customHeight="1" spans="1:11">
      <c r="A18" s="45" t="s">
        <v>1029</v>
      </c>
      <c r="B18" s="43"/>
      <c r="C18" s="43"/>
      <c r="D18" s="43"/>
      <c r="E18" s="40"/>
      <c r="F18" s="43"/>
      <c r="G18" s="43"/>
      <c r="H18" s="44"/>
      <c r="I18" s="43"/>
      <c r="J18" s="43"/>
      <c r="K18" s="44"/>
    </row>
    <row r="19" ht="18" customHeight="1" spans="1:11">
      <c r="A19" s="45" t="s">
        <v>1030</v>
      </c>
      <c r="B19" s="43">
        <v>937</v>
      </c>
      <c r="C19" s="43">
        <v>3</v>
      </c>
      <c r="D19" s="43">
        <f>本级社保收!D9-D9</f>
        <v>-33</v>
      </c>
      <c r="E19" s="46">
        <f t="shared" si="8"/>
        <v>-0.0352187833511206</v>
      </c>
      <c r="F19" s="43">
        <v>2260</v>
      </c>
      <c r="G19" s="43">
        <f t="shared" si="3"/>
        <v>-2293</v>
      </c>
      <c r="H19" s="44">
        <f t="shared" si="6"/>
        <v>-1.0146017699115</v>
      </c>
      <c r="I19" s="43">
        <f>本级社保收!I9-I9</f>
        <v>3</v>
      </c>
      <c r="J19" s="43">
        <f t="shared" si="4"/>
        <v>36</v>
      </c>
      <c r="K19" s="44">
        <f t="shared" si="7"/>
        <v>-1.09090909090909</v>
      </c>
    </row>
    <row r="20" ht="18" customHeight="1" spans="1:11">
      <c r="A20" s="45" t="s">
        <v>1031</v>
      </c>
      <c r="B20" s="43">
        <v>5265</v>
      </c>
      <c r="C20" s="43">
        <v>4331</v>
      </c>
      <c r="D20" s="43">
        <f>F20+D19</f>
        <v>4295</v>
      </c>
      <c r="E20" s="46">
        <f t="shared" si="8"/>
        <v>0.815764482431149</v>
      </c>
      <c r="F20" s="43">
        <v>4328</v>
      </c>
      <c r="G20" s="43">
        <f t="shared" si="3"/>
        <v>-33</v>
      </c>
      <c r="H20" s="44">
        <f t="shared" si="6"/>
        <v>-0.00762476894639556</v>
      </c>
      <c r="I20" s="51">
        <f>D20+I19</f>
        <v>4298</v>
      </c>
      <c r="J20" s="43">
        <f t="shared" si="4"/>
        <v>3</v>
      </c>
      <c r="K20" s="44">
        <f t="shared" si="7"/>
        <v>0.00069848661233993</v>
      </c>
    </row>
    <row r="21" ht="18" customHeight="1" spans="1:11">
      <c r="A21" s="45" t="s">
        <v>1032</v>
      </c>
      <c r="B21" s="43">
        <v>841</v>
      </c>
      <c r="C21" s="43">
        <v>1335</v>
      </c>
      <c r="D21" s="43">
        <f>本级社保收!D10-D10</f>
        <v>1361</v>
      </c>
      <c r="E21" s="46">
        <f t="shared" si="8"/>
        <v>1.61831153388823</v>
      </c>
      <c r="F21" s="43">
        <v>559</v>
      </c>
      <c r="G21" s="43">
        <f t="shared" si="3"/>
        <v>802</v>
      </c>
      <c r="H21" s="44">
        <f t="shared" si="6"/>
        <v>1.43470483005367</v>
      </c>
      <c r="I21" s="51">
        <f>本级社保收!I10-I10</f>
        <v>1437</v>
      </c>
      <c r="J21" s="43">
        <f t="shared" si="4"/>
        <v>76</v>
      </c>
      <c r="K21" s="44">
        <f t="shared" si="7"/>
        <v>0.0558412931667891</v>
      </c>
    </row>
    <row r="22" ht="18" customHeight="1" spans="1:11">
      <c r="A22" s="45" t="s">
        <v>1033</v>
      </c>
      <c r="B22" s="43">
        <v>6537</v>
      </c>
      <c r="C22" s="43">
        <v>7021</v>
      </c>
      <c r="D22" s="43">
        <f>F22+D21</f>
        <v>7047</v>
      </c>
      <c r="E22" s="46">
        <f t="shared" si="8"/>
        <v>1.07801743919229</v>
      </c>
      <c r="F22" s="43">
        <v>5686</v>
      </c>
      <c r="G22" s="43">
        <f t="shared" si="3"/>
        <v>1361</v>
      </c>
      <c r="H22" s="44">
        <f t="shared" si="6"/>
        <v>0.239359831164263</v>
      </c>
      <c r="I22" s="51">
        <f>D22+I21</f>
        <v>8484</v>
      </c>
      <c r="J22" s="43">
        <f t="shared" si="4"/>
        <v>1437</v>
      </c>
      <c r="K22" s="44">
        <f t="shared" si="7"/>
        <v>0.203916560238399</v>
      </c>
    </row>
    <row r="23" ht="18" customHeight="1" spans="1:11">
      <c r="A23" s="45" t="s">
        <v>1034</v>
      </c>
      <c r="B23" s="48"/>
      <c r="C23" s="48"/>
      <c r="D23" s="48"/>
      <c r="E23" s="48"/>
      <c r="F23" s="48"/>
      <c r="G23" s="48"/>
      <c r="H23" s="48"/>
      <c r="I23" s="48"/>
      <c r="J23" s="48"/>
      <c r="K23" s="48"/>
    </row>
    <row r="24" ht="18" customHeight="1" spans="1:11">
      <c r="A24" s="45" t="s">
        <v>1035</v>
      </c>
      <c r="B24" s="45"/>
      <c r="C24" s="48"/>
      <c r="D24" s="48"/>
      <c r="E24" s="48"/>
      <c r="F24" s="48"/>
      <c r="G24" s="48"/>
      <c r="H24" s="48"/>
      <c r="I24" s="48"/>
      <c r="J24" s="48"/>
      <c r="K24" s="48"/>
    </row>
    <row r="25" ht="18" customHeight="1" spans="1:11">
      <c r="A25" s="45" t="s">
        <v>1036</v>
      </c>
      <c r="B25" s="45"/>
      <c r="C25" s="48"/>
      <c r="D25" s="48"/>
      <c r="E25" s="48"/>
      <c r="F25" s="48"/>
      <c r="G25" s="48"/>
      <c r="H25" s="48"/>
      <c r="I25" s="48"/>
      <c r="J25" s="48"/>
      <c r="K25" s="48"/>
    </row>
    <row r="26" ht="18" customHeight="1" spans="1:11">
      <c r="A26" s="45" t="s">
        <v>1037</v>
      </c>
      <c r="B26" s="45"/>
      <c r="C26" s="48"/>
      <c r="D26" s="48"/>
      <c r="E26" s="48"/>
      <c r="F26" s="48"/>
      <c r="G26" s="48"/>
      <c r="H26" s="48"/>
      <c r="I26" s="48"/>
      <c r="J26" s="48"/>
      <c r="K26" s="48"/>
    </row>
    <row r="27" ht="18" customHeight="1" spans="1:11">
      <c r="A27" s="45" t="s">
        <v>1038</v>
      </c>
      <c r="B27" s="45"/>
      <c r="C27" s="48"/>
      <c r="D27" s="48"/>
      <c r="E27" s="48"/>
      <c r="F27" s="48"/>
      <c r="G27" s="48"/>
      <c r="H27" s="48"/>
      <c r="I27" s="48"/>
      <c r="J27" s="48"/>
      <c r="K27" s="48"/>
    </row>
    <row r="28" ht="18" customHeight="1" spans="1:11">
      <c r="A28" s="45" t="s">
        <v>1039</v>
      </c>
      <c r="B28" s="45"/>
      <c r="C28" s="48"/>
      <c r="D28" s="48"/>
      <c r="E28" s="48"/>
      <c r="F28" s="48"/>
      <c r="G28" s="48"/>
      <c r="H28" s="48"/>
      <c r="I28" s="48"/>
      <c r="J28" s="48"/>
      <c r="K28" s="48"/>
    </row>
    <row r="29" ht="18" customHeight="1" spans="1:11">
      <c r="A29" s="45" t="s">
        <v>1040</v>
      </c>
      <c r="B29" s="45"/>
      <c r="C29" s="48"/>
      <c r="D29" s="48"/>
      <c r="E29" s="48"/>
      <c r="F29" s="48"/>
      <c r="G29" s="48"/>
      <c r="H29" s="48"/>
      <c r="I29" s="48"/>
      <c r="J29" s="48"/>
      <c r="K29" s="48"/>
    </row>
    <row r="30" ht="18" customHeight="1" spans="1:11">
      <c r="A30" s="45" t="s">
        <v>1041</v>
      </c>
      <c r="B30" s="45"/>
      <c r="C30" s="48"/>
      <c r="D30" s="48"/>
      <c r="E30" s="48"/>
      <c r="F30" s="48"/>
      <c r="G30" s="48"/>
      <c r="H30" s="48"/>
      <c r="I30" s="48"/>
      <c r="J30" s="48"/>
      <c r="K30" s="48"/>
    </row>
  </sheetData>
  <mergeCells count="12">
    <mergeCell ref="A2:K2"/>
    <mergeCell ref="C4:H4"/>
    <mergeCell ref="I4:K4"/>
    <mergeCell ref="G5:H5"/>
    <mergeCell ref="J5:K5"/>
    <mergeCell ref="A4:A6"/>
    <mergeCell ref="B5:B6"/>
    <mergeCell ref="C5:C6"/>
    <mergeCell ref="D5:D6"/>
    <mergeCell ref="E5:E6"/>
    <mergeCell ref="F5:F6"/>
    <mergeCell ref="I5:I6"/>
  </mergeCells>
  <pageMargins left="0.75" right="0.75" top="0.747916666666667" bottom="0.826388888888889" header="0.5" footer="0.5"/>
  <pageSetup paperSize="9" scale="88" fitToHeight="0" orientation="landscape"/>
  <headerFooter/>
  <ignoredErrors>
    <ignoredError sqref="I21 D21"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4"/>
  <sheetViews>
    <sheetView tabSelected="1" workbookViewId="0">
      <pane ySplit="4" topLeftCell="A64" activePane="bottomLeft" state="frozen"/>
      <selection/>
      <selection pane="bottomLeft" activeCell="B171" sqref="B171"/>
    </sheetView>
  </sheetViews>
  <sheetFormatPr defaultColWidth="44.4416666666667" defaultRowHeight="13.5" outlineLevelCol="4"/>
  <cols>
    <col min="1" max="1" width="7.125" customWidth="1"/>
    <col min="2" max="2" width="37.75" customWidth="1"/>
    <col min="3" max="4" width="58.3333333333333" customWidth="1"/>
    <col min="5" max="5" width="10.8833333333333" style="2" customWidth="1"/>
    <col min="6" max="6" width="44.4416666666667" customWidth="1"/>
  </cols>
  <sheetData>
    <row r="1" spans="1:1">
      <c r="A1" t="s">
        <v>1042</v>
      </c>
    </row>
    <row r="2" ht="27" spans="1:5">
      <c r="A2" s="3" t="s">
        <v>1043</v>
      </c>
      <c r="B2" s="3"/>
      <c r="C2" s="3"/>
      <c r="D2" s="3"/>
      <c r="E2" s="4"/>
    </row>
    <row r="3" spans="1:5">
      <c r="A3" s="5"/>
      <c r="B3" s="5"/>
      <c r="C3" s="5"/>
      <c r="D3" s="5"/>
      <c r="E3" s="6" t="s">
        <v>2</v>
      </c>
    </row>
    <row r="4" s="1" customFormat="1" ht="24" spans="1:5">
      <c r="A4" s="7" t="s">
        <v>1044</v>
      </c>
      <c r="B4" s="7" t="s">
        <v>1045</v>
      </c>
      <c r="C4" s="7" t="s">
        <v>1046</v>
      </c>
      <c r="D4" s="8" t="s">
        <v>1047</v>
      </c>
      <c r="E4" s="9" t="s">
        <v>1048</v>
      </c>
    </row>
    <row r="5" ht="15" spans="1:5">
      <c r="A5" s="10">
        <v>1</v>
      </c>
      <c r="B5" s="11" t="s">
        <v>1049</v>
      </c>
      <c r="C5" s="12" t="s">
        <v>1050</v>
      </c>
      <c r="D5" s="13" t="s">
        <v>1051</v>
      </c>
      <c r="E5" s="14">
        <v>99600</v>
      </c>
    </row>
    <row r="6" ht="24" spans="1:5">
      <c r="A6" s="10">
        <v>2</v>
      </c>
      <c r="B6" s="11" t="s">
        <v>1049</v>
      </c>
      <c r="C6" s="12" t="s">
        <v>1052</v>
      </c>
      <c r="D6" s="12" t="s">
        <v>1053</v>
      </c>
      <c r="E6" s="14">
        <v>63250</v>
      </c>
    </row>
    <row r="7" ht="24" spans="1:5">
      <c r="A7" s="10">
        <v>3</v>
      </c>
      <c r="B7" s="11" t="s">
        <v>1049</v>
      </c>
      <c r="C7" s="12" t="s">
        <v>1054</v>
      </c>
      <c r="D7" s="12" t="s">
        <v>1053</v>
      </c>
      <c r="E7" s="14">
        <v>74550</v>
      </c>
    </row>
    <row r="8" ht="15" spans="1:5">
      <c r="A8" s="10">
        <v>4</v>
      </c>
      <c r="B8" s="11" t="s">
        <v>1049</v>
      </c>
      <c r="C8" s="12" t="s">
        <v>1055</v>
      </c>
      <c r="D8" s="15" t="s">
        <v>1056</v>
      </c>
      <c r="E8" s="14">
        <v>2226510</v>
      </c>
    </row>
    <row r="9" ht="36" spans="1:5">
      <c r="A9" s="10">
        <v>5</v>
      </c>
      <c r="B9" s="11" t="s">
        <v>1057</v>
      </c>
      <c r="C9" s="12" t="s">
        <v>1058</v>
      </c>
      <c r="D9" s="15" t="s">
        <v>1059</v>
      </c>
      <c r="E9" s="14">
        <v>60000</v>
      </c>
    </row>
    <row r="10" ht="15" spans="1:5">
      <c r="A10" s="10">
        <v>6</v>
      </c>
      <c r="B10" s="11" t="s">
        <v>1060</v>
      </c>
      <c r="C10" s="12" t="s">
        <v>1061</v>
      </c>
      <c r="D10" s="12" t="s">
        <v>1062</v>
      </c>
      <c r="E10" s="14">
        <v>1420000</v>
      </c>
    </row>
    <row r="11" ht="15" spans="1:5">
      <c r="A11" s="10">
        <v>7</v>
      </c>
      <c r="B11" s="16" t="s">
        <v>1060</v>
      </c>
      <c r="C11" s="17" t="s">
        <v>1063</v>
      </c>
      <c r="D11" s="17" t="s">
        <v>1064</v>
      </c>
      <c r="E11" s="14">
        <v>245000</v>
      </c>
    </row>
    <row r="12" ht="15" spans="1:5">
      <c r="A12" s="10">
        <v>8</v>
      </c>
      <c r="B12" s="16" t="s">
        <v>1060</v>
      </c>
      <c r="C12" s="17" t="s">
        <v>1065</v>
      </c>
      <c r="D12" s="17" t="s">
        <v>1066</v>
      </c>
      <c r="E12" s="14">
        <v>35000</v>
      </c>
    </row>
    <row r="13" ht="15" spans="1:5">
      <c r="A13" s="10">
        <v>9</v>
      </c>
      <c r="B13" s="11" t="s">
        <v>1067</v>
      </c>
      <c r="C13" s="12" t="s">
        <v>1068</v>
      </c>
      <c r="D13" s="12" t="s">
        <v>1069</v>
      </c>
      <c r="E13" s="14">
        <v>566100</v>
      </c>
    </row>
    <row r="14" ht="15" spans="1:5">
      <c r="A14" s="10">
        <v>10</v>
      </c>
      <c r="B14" s="11" t="s">
        <v>1070</v>
      </c>
      <c r="C14" s="12" t="s">
        <v>1071</v>
      </c>
      <c r="D14" s="15" t="s">
        <v>1072</v>
      </c>
      <c r="E14" s="14">
        <v>601000</v>
      </c>
    </row>
    <row r="15" ht="36" spans="1:5">
      <c r="A15" s="10">
        <v>11</v>
      </c>
      <c r="B15" s="11" t="s">
        <v>1070</v>
      </c>
      <c r="C15" s="12" t="s">
        <v>1073</v>
      </c>
      <c r="D15" s="15" t="s">
        <v>1074</v>
      </c>
      <c r="E15" s="14">
        <v>78750</v>
      </c>
    </row>
    <row r="16" ht="24" spans="1:5">
      <c r="A16" s="10">
        <v>12</v>
      </c>
      <c r="B16" s="11" t="s">
        <v>1070</v>
      </c>
      <c r="C16" s="12" t="s">
        <v>1075</v>
      </c>
      <c r="D16" s="15" t="s">
        <v>1076</v>
      </c>
      <c r="E16" s="14">
        <v>78000</v>
      </c>
    </row>
    <row r="17" ht="15" spans="1:5">
      <c r="A17" s="10">
        <v>13</v>
      </c>
      <c r="B17" s="11" t="s">
        <v>1077</v>
      </c>
      <c r="C17" s="12" t="s">
        <v>1078</v>
      </c>
      <c r="D17" s="17" t="s">
        <v>1064</v>
      </c>
      <c r="E17" s="14">
        <v>2100000</v>
      </c>
    </row>
    <row r="18" ht="15" spans="1:5">
      <c r="A18" s="10">
        <v>14</v>
      </c>
      <c r="B18" s="11" t="s">
        <v>1077</v>
      </c>
      <c r="C18" s="12" t="s">
        <v>1079</v>
      </c>
      <c r="D18" s="15" t="s">
        <v>1080</v>
      </c>
      <c r="E18" s="14">
        <v>661320</v>
      </c>
    </row>
    <row r="19" ht="24" spans="1:5">
      <c r="A19" s="10">
        <v>15</v>
      </c>
      <c r="B19" s="11" t="s">
        <v>1077</v>
      </c>
      <c r="C19" s="12" t="s">
        <v>1081</v>
      </c>
      <c r="D19" s="15" t="s">
        <v>1082</v>
      </c>
      <c r="E19" s="14">
        <v>24000</v>
      </c>
    </row>
    <row r="20" ht="15" spans="1:5">
      <c r="A20" s="10">
        <v>16</v>
      </c>
      <c r="B20" s="11" t="s">
        <v>1077</v>
      </c>
      <c r="C20" s="12" t="s">
        <v>1083</v>
      </c>
      <c r="D20" s="15" t="s">
        <v>1084</v>
      </c>
      <c r="E20" s="14">
        <v>16000</v>
      </c>
    </row>
    <row r="21" ht="15" spans="1:5">
      <c r="A21" s="10">
        <v>17</v>
      </c>
      <c r="B21" s="11" t="s">
        <v>1085</v>
      </c>
      <c r="C21" s="12" t="s">
        <v>1086</v>
      </c>
      <c r="D21" s="17" t="s">
        <v>1087</v>
      </c>
      <c r="E21" s="14">
        <v>610000</v>
      </c>
    </row>
    <row r="22" ht="15" spans="1:5">
      <c r="A22" s="10">
        <v>18</v>
      </c>
      <c r="B22" s="11" t="s">
        <v>1085</v>
      </c>
      <c r="C22" s="12" t="s">
        <v>1088</v>
      </c>
      <c r="D22" s="17" t="s">
        <v>1089</v>
      </c>
      <c r="E22" s="14">
        <v>1883000</v>
      </c>
    </row>
    <row r="23" ht="24" spans="1:5">
      <c r="A23" s="10">
        <v>19</v>
      </c>
      <c r="B23" s="16" t="s">
        <v>1067</v>
      </c>
      <c r="C23" s="17" t="s">
        <v>1090</v>
      </c>
      <c r="D23" s="15" t="s">
        <v>1091</v>
      </c>
      <c r="E23" s="14">
        <v>13770000</v>
      </c>
    </row>
    <row r="24" ht="24" spans="1:5">
      <c r="A24" s="10">
        <v>20</v>
      </c>
      <c r="B24" s="16" t="s">
        <v>1067</v>
      </c>
      <c r="C24" s="17" t="s">
        <v>1092</v>
      </c>
      <c r="D24" s="15" t="s">
        <v>1091</v>
      </c>
      <c r="E24" s="14">
        <v>1870000</v>
      </c>
    </row>
    <row r="25" ht="15" spans="1:5">
      <c r="A25" s="10">
        <v>21</v>
      </c>
      <c r="B25" s="18" t="s">
        <v>1093</v>
      </c>
      <c r="C25" s="17" t="s">
        <v>1094</v>
      </c>
      <c r="D25" s="19" t="s">
        <v>1095</v>
      </c>
      <c r="E25" s="14">
        <v>4440000</v>
      </c>
    </row>
    <row r="26" ht="15" spans="1:5">
      <c r="A26" s="10">
        <v>22</v>
      </c>
      <c r="B26" s="18" t="s">
        <v>1093</v>
      </c>
      <c r="C26" s="17" t="s">
        <v>1096</v>
      </c>
      <c r="D26" s="19" t="s">
        <v>1095</v>
      </c>
      <c r="E26" s="14">
        <v>660000</v>
      </c>
    </row>
    <row r="27" ht="15" spans="1:5">
      <c r="A27" s="10">
        <v>23</v>
      </c>
      <c r="B27" s="11" t="s">
        <v>1070</v>
      </c>
      <c r="C27" s="17" t="s">
        <v>1097</v>
      </c>
      <c r="D27" s="15" t="s">
        <v>1098</v>
      </c>
      <c r="E27" s="14">
        <v>1451500</v>
      </c>
    </row>
    <row r="28" ht="15" spans="1:5">
      <c r="A28" s="10">
        <v>24</v>
      </c>
      <c r="B28" s="12" t="s">
        <v>1099</v>
      </c>
      <c r="C28" s="17" t="s">
        <v>1100</v>
      </c>
      <c r="D28" s="17" t="s">
        <v>1100</v>
      </c>
      <c r="E28" s="20">
        <v>24000000</v>
      </c>
    </row>
    <row r="29" ht="15" spans="1:5">
      <c r="A29" s="10">
        <v>25</v>
      </c>
      <c r="B29" s="12" t="s">
        <v>1101</v>
      </c>
      <c r="C29" s="17" t="s">
        <v>1102</v>
      </c>
      <c r="D29" s="17" t="s">
        <v>1103</v>
      </c>
      <c r="E29" s="20">
        <v>717600</v>
      </c>
    </row>
    <row r="30" ht="15" spans="1:5">
      <c r="A30" s="10">
        <v>26</v>
      </c>
      <c r="B30" s="12" t="s">
        <v>1049</v>
      </c>
      <c r="C30" s="17" t="s">
        <v>1104</v>
      </c>
      <c r="D30" s="15" t="s">
        <v>1105</v>
      </c>
      <c r="E30" s="20">
        <v>182400</v>
      </c>
    </row>
    <row r="31" ht="15" spans="1:5">
      <c r="A31" s="10">
        <v>27</v>
      </c>
      <c r="B31" s="12" t="s">
        <v>1106</v>
      </c>
      <c r="C31" s="12" t="s">
        <v>1107</v>
      </c>
      <c r="D31" s="15" t="s">
        <v>1108</v>
      </c>
      <c r="E31" s="20">
        <v>42800</v>
      </c>
    </row>
    <row r="32" ht="15" spans="1:5">
      <c r="A32" s="10">
        <v>28</v>
      </c>
      <c r="B32" s="12" t="s">
        <v>1109</v>
      </c>
      <c r="C32" s="12" t="s">
        <v>1110</v>
      </c>
      <c r="D32" s="15" t="s">
        <v>1108</v>
      </c>
      <c r="E32" s="20">
        <v>321300</v>
      </c>
    </row>
    <row r="33" ht="15" spans="1:5">
      <c r="A33" s="10">
        <v>29</v>
      </c>
      <c r="B33" s="12" t="s">
        <v>1111</v>
      </c>
      <c r="C33" s="12" t="s">
        <v>1112</v>
      </c>
      <c r="D33" s="15" t="s">
        <v>1108</v>
      </c>
      <c r="E33" s="20">
        <v>2400</v>
      </c>
    </row>
    <row r="34" ht="15" spans="1:5">
      <c r="A34" s="10">
        <v>30</v>
      </c>
      <c r="B34" s="12" t="s">
        <v>1113</v>
      </c>
      <c r="C34" s="12" t="s">
        <v>1114</v>
      </c>
      <c r="D34" s="15" t="s">
        <v>1115</v>
      </c>
      <c r="E34" s="20">
        <v>3540000</v>
      </c>
    </row>
    <row r="35" ht="15" spans="1:5">
      <c r="A35" s="10">
        <v>31</v>
      </c>
      <c r="B35" s="12" t="s">
        <v>1116</v>
      </c>
      <c r="C35" s="12" t="s">
        <v>1114</v>
      </c>
      <c r="D35" s="15" t="s">
        <v>1115</v>
      </c>
      <c r="E35" s="20">
        <v>600000</v>
      </c>
    </row>
    <row r="36" ht="15" spans="1:5">
      <c r="A36" s="10">
        <v>32</v>
      </c>
      <c r="B36" s="12" t="s">
        <v>1117</v>
      </c>
      <c r="C36" s="12" t="s">
        <v>1118</v>
      </c>
      <c r="D36" s="15" t="s">
        <v>1119</v>
      </c>
      <c r="E36" s="20">
        <v>390000</v>
      </c>
    </row>
    <row r="37" ht="15" spans="1:5">
      <c r="A37" s="10">
        <v>33</v>
      </c>
      <c r="B37" s="12" t="s">
        <v>1117</v>
      </c>
      <c r="C37" s="12" t="s">
        <v>1120</v>
      </c>
      <c r="D37" s="12" t="s">
        <v>1121</v>
      </c>
      <c r="E37" s="20">
        <v>283591.6</v>
      </c>
    </row>
    <row r="38" ht="15" spans="1:5">
      <c r="A38" s="10">
        <v>34</v>
      </c>
      <c r="B38" s="12" t="s">
        <v>1122</v>
      </c>
      <c r="C38" s="12" t="s">
        <v>1123</v>
      </c>
      <c r="D38" s="15" t="s">
        <v>1119</v>
      </c>
      <c r="E38" s="20">
        <v>300000</v>
      </c>
    </row>
    <row r="39" ht="15" spans="1:5">
      <c r="A39" s="10">
        <v>35</v>
      </c>
      <c r="B39" s="12" t="s">
        <v>1122</v>
      </c>
      <c r="C39" s="12" t="s">
        <v>1124</v>
      </c>
      <c r="D39" s="12" t="s">
        <v>1125</v>
      </c>
      <c r="E39" s="20">
        <v>284000</v>
      </c>
    </row>
    <row r="40" ht="15" spans="1:5">
      <c r="A40" s="10">
        <v>36</v>
      </c>
      <c r="B40" s="12" t="s">
        <v>1122</v>
      </c>
      <c r="C40" s="12" t="s">
        <v>1126</v>
      </c>
      <c r="D40" s="12" t="s">
        <v>1127</v>
      </c>
      <c r="E40" s="20">
        <v>53000</v>
      </c>
    </row>
    <row r="41" ht="15" spans="1:5">
      <c r="A41" s="10">
        <v>37</v>
      </c>
      <c r="B41" s="12" t="s">
        <v>1128</v>
      </c>
      <c r="C41" s="12" t="s">
        <v>1129</v>
      </c>
      <c r="D41" s="15" t="s">
        <v>1119</v>
      </c>
      <c r="E41" s="20">
        <v>50000</v>
      </c>
    </row>
    <row r="42" ht="15" spans="1:5">
      <c r="A42" s="10">
        <v>38</v>
      </c>
      <c r="B42" s="12" t="s">
        <v>1128</v>
      </c>
      <c r="C42" s="12" t="s">
        <v>1130</v>
      </c>
      <c r="D42" s="12" t="s">
        <v>1131</v>
      </c>
      <c r="E42" s="20">
        <v>104012</v>
      </c>
    </row>
    <row r="43" ht="15" spans="1:5">
      <c r="A43" s="10">
        <v>39</v>
      </c>
      <c r="B43" s="12" t="s">
        <v>1128</v>
      </c>
      <c r="C43" s="12" t="s">
        <v>1132</v>
      </c>
      <c r="D43" s="12" t="s">
        <v>1133</v>
      </c>
      <c r="E43" s="20">
        <v>749000</v>
      </c>
    </row>
    <row r="44" ht="15" spans="1:5">
      <c r="A44" s="10">
        <v>40</v>
      </c>
      <c r="B44" s="12" t="s">
        <v>1128</v>
      </c>
      <c r="C44" s="12" t="s">
        <v>1134</v>
      </c>
      <c r="D44" s="12" t="s">
        <v>1135</v>
      </c>
      <c r="E44" s="20">
        <v>50000</v>
      </c>
    </row>
    <row r="45" ht="15" spans="1:5">
      <c r="A45" s="10">
        <v>41</v>
      </c>
      <c r="B45" s="12" t="s">
        <v>1136</v>
      </c>
      <c r="C45" s="12" t="s">
        <v>1137</v>
      </c>
      <c r="D45" s="15" t="s">
        <v>1138</v>
      </c>
      <c r="E45" s="20">
        <v>50000</v>
      </c>
    </row>
    <row r="46" ht="15" spans="1:5">
      <c r="A46" s="10">
        <v>42</v>
      </c>
      <c r="B46" s="12" t="s">
        <v>1136</v>
      </c>
      <c r="C46" s="12" t="s">
        <v>1139</v>
      </c>
      <c r="D46" s="15" t="s">
        <v>1140</v>
      </c>
      <c r="E46" s="20">
        <v>100000</v>
      </c>
    </row>
    <row r="47" ht="15" spans="1:5">
      <c r="A47" s="10">
        <v>43</v>
      </c>
      <c r="B47" s="12" t="s">
        <v>1136</v>
      </c>
      <c r="C47" s="12" t="s">
        <v>1141</v>
      </c>
      <c r="D47" s="15" t="s">
        <v>1138</v>
      </c>
      <c r="E47" s="20">
        <v>80000</v>
      </c>
    </row>
    <row r="48" ht="15" spans="1:5">
      <c r="A48" s="10">
        <v>44</v>
      </c>
      <c r="B48" s="12" t="s">
        <v>1142</v>
      </c>
      <c r="C48" s="12" t="s">
        <v>1143</v>
      </c>
      <c r="D48" s="15" t="s">
        <v>1143</v>
      </c>
      <c r="E48" s="20">
        <v>2252326.76</v>
      </c>
    </row>
    <row r="49" ht="15" spans="1:5">
      <c r="A49" s="10">
        <v>45</v>
      </c>
      <c r="B49" s="12" t="s">
        <v>1142</v>
      </c>
      <c r="C49" s="12" t="s">
        <v>1144</v>
      </c>
      <c r="D49" s="15" t="s">
        <v>1144</v>
      </c>
      <c r="E49" s="20">
        <v>1843812.91</v>
      </c>
    </row>
    <row r="50" ht="15" spans="1:5">
      <c r="A50" s="10">
        <v>46</v>
      </c>
      <c r="B50" s="12" t="s">
        <v>1142</v>
      </c>
      <c r="C50" s="12" t="s">
        <v>1145</v>
      </c>
      <c r="D50" s="12" t="s">
        <v>1145</v>
      </c>
      <c r="E50" s="20">
        <v>1972152.94</v>
      </c>
    </row>
    <row r="51" ht="15" spans="1:5">
      <c r="A51" s="10">
        <v>47</v>
      </c>
      <c r="B51" s="12" t="s">
        <v>1142</v>
      </c>
      <c r="C51" s="12" t="s">
        <v>1146</v>
      </c>
      <c r="D51" s="15" t="s">
        <v>1146</v>
      </c>
      <c r="E51" s="20">
        <v>1914189.2</v>
      </c>
    </row>
    <row r="52" ht="15" spans="1:5">
      <c r="A52" s="10">
        <v>48</v>
      </c>
      <c r="B52" s="12" t="s">
        <v>1142</v>
      </c>
      <c r="C52" s="12" t="s">
        <v>1147</v>
      </c>
      <c r="D52" s="15" t="s">
        <v>1148</v>
      </c>
      <c r="E52" s="20">
        <v>200000</v>
      </c>
    </row>
    <row r="53" ht="15" spans="1:5">
      <c r="A53" s="10">
        <v>49</v>
      </c>
      <c r="B53" s="12" t="s">
        <v>1142</v>
      </c>
      <c r="C53" s="12" t="s">
        <v>1149</v>
      </c>
      <c r="D53" s="12" t="s">
        <v>1149</v>
      </c>
      <c r="E53" s="20">
        <v>5000</v>
      </c>
    </row>
    <row r="54" ht="15" spans="1:5">
      <c r="A54" s="10">
        <v>50</v>
      </c>
      <c r="B54" s="12" t="s">
        <v>1142</v>
      </c>
      <c r="C54" s="12" t="s">
        <v>1150</v>
      </c>
      <c r="D54" s="12" t="s">
        <v>1150</v>
      </c>
      <c r="E54" s="20">
        <v>20000</v>
      </c>
    </row>
    <row r="55" ht="15" spans="1:5">
      <c r="A55" s="10">
        <v>51</v>
      </c>
      <c r="B55" s="12" t="s">
        <v>1142</v>
      </c>
      <c r="C55" s="12" t="s">
        <v>1151</v>
      </c>
      <c r="D55" s="12" t="s">
        <v>1151</v>
      </c>
      <c r="E55" s="20">
        <v>101606</v>
      </c>
    </row>
    <row r="56" ht="15" spans="1:5">
      <c r="A56" s="10">
        <v>52</v>
      </c>
      <c r="B56" s="12" t="s">
        <v>1142</v>
      </c>
      <c r="C56" s="12" t="s">
        <v>1152</v>
      </c>
      <c r="D56" s="12" t="s">
        <v>1153</v>
      </c>
      <c r="E56" s="20">
        <v>358600</v>
      </c>
    </row>
    <row r="57" ht="15" spans="1:5">
      <c r="A57" s="10">
        <v>53</v>
      </c>
      <c r="B57" s="12" t="s">
        <v>1154</v>
      </c>
      <c r="C57" s="12" t="s">
        <v>1155</v>
      </c>
      <c r="D57" s="12" t="s">
        <v>1156</v>
      </c>
      <c r="E57" s="20">
        <v>150000</v>
      </c>
    </row>
    <row r="58" ht="15" spans="1:5">
      <c r="A58" s="10">
        <v>54</v>
      </c>
      <c r="B58" s="12" t="s">
        <v>1157</v>
      </c>
      <c r="C58" s="12" t="s">
        <v>1158</v>
      </c>
      <c r="D58" s="15" t="s">
        <v>1159</v>
      </c>
      <c r="E58" s="20">
        <v>40000</v>
      </c>
    </row>
    <row r="59" ht="15" spans="1:5">
      <c r="A59" s="10">
        <v>55</v>
      </c>
      <c r="B59" s="12" t="s">
        <v>1157</v>
      </c>
      <c r="C59" s="12" t="s">
        <v>1160</v>
      </c>
      <c r="D59" s="15" t="s">
        <v>1161</v>
      </c>
      <c r="E59" s="20">
        <v>55800</v>
      </c>
    </row>
    <row r="60" ht="15" spans="1:5">
      <c r="A60" s="10">
        <v>56</v>
      </c>
      <c r="B60" s="12" t="s">
        <v>1162</v>
      </c>
      <c r="C60" s="12" t="s">
        <v>1163</v>
      </c>
      <c r="D60" s="12" t="s">
        <v>1164</v>
      </c>
      <c r="E60" s="20">
        <v>13560</v>
      </c>
    </row>
    <row r="61" ht="15" spans="1:5">
      <c r="A61" s="10">
        <v>57</v>
      </c>
      <c r="B61" s="12" t="s">
        <v>1162</v>
      </c>
      <c r="C61" s="12" t="s">
        <v>1165</v>
      </c>
      <c r="D61" s="12" t="s">
        <v>1166</v>
      </c>
      <c r="E61" s="20">
        <v>116755</v>
      </c>
    </row>
    <row r="62" ht="15" spans="1:5">
      <c r="A62" s="10">
        <v>58</v>
      </c>
      <c r="B62" s="12" t="s">
        <v>1162</v>
      </c>
      <c r="C62" s="12" t="s">
        <v>1167</v>
      </c>
      <c r="D62" s="12" t="s">
        <v>1168</v>
      </c>
      <c r="E62" s="20">
        <v>6970</v>
      </c>
    </row>
    <row r="63" ht="15" spans="1:5">
      <c r="A63" s="10">
        <v>59</v>
      </c>
      <c r="B63" s="12" t="s">
        <v>1162</v>
      </c>
      <c r="C63" s="12" t="s">
        <v>1169</v>
      </c>
      <c r="D63" s="12" t="s">
        <v>1170</v>
      </c>
      <c r="E63" s="20">
        <v>5280</v>
      </c>
    </row>
    <row r="64" ht="15" spans="1:5">
      <c r="A64" s="10">
        <v>60</v>
      </c>
      <c r="B64" s="12" t="s">
        <v>1162</v>
      </c>
      <c r="C64" s="12" t="s">
        <v>1171</v>
      </c>
      <c r="D64" s="12" t="s">
        <v>1172</v>
      </c>
      <c r="E64" s="20">
        <v>122846</v>
      </c>
    </row>
    <row r="65" ht="15" spans="1:5">
      <c r="A65" s="10">
        <v>61</v>
      </c>
      <c r="B65" s="12" t="s">
        <v>1173</v>
      </c>
      <c r="C65" s="12" t="s">
        <v>1174</v>
      </c>
      <c r="D65" s="12" t="s">
        <v>1175</v>
      </c>
      <c r="E65" s="20">
        <v>910000</v>
      </c>
    </row>
    <row r="66" ht="15" spans="1:5">
      <c r="A66" s="10">
        <v>62</v>
      </c>
      <c r="B66" s="12" t="s">
        <v>1173</v>
      </c>
      <c r="C66" s="12" t="s">
        <v>1176</v>
      </c>
      <c r="D66" s="15" t="s">
        <v>1177</v>
      </c>
      <c r="E66" s="20">
        <v>940000</v>
      </c>
    </row>
    <row r="67" ht="15" spans="1:5">
      <c r="A67" s="10">
        <v>63</v>
      </c>
      <c r="B67" s="12" t="s">
        <v>1173</v>
      </c>
      <c r="C67" s="12" t="s">
        <v>1178</v>
      </c>
      <c r="D67" s="15" t="s">
        <v>1179</v>
      </c>
      <c r="E67" s="20">
        <v>1000000</v>
      </c>
    </row>
    <row r="68" ht="15" spans="1:5">
      <c r="A68" s="10">
        <v>64</v>
      </c>
      <c r="B68" s="12" t="s">
        <v>1173</v>
      </c>
      <c r="C68" s="12" t="s">
        <v>1180</v>
      </c>
      <c r="D68" s="12" t="s">
        <v>1181</v>
      </c>
      <c r="E68" s="20">
        <v>50000</v>
      </c>
    </row>
    <row r="69" ht="15" spans="1:5">
      <c r="A69" s="10">
        <v>65</v>
      </c>
      <c r="B69" s="12" t="s">
        <v>1173</v>
      </c>
      <c r="C69" s="12" t="s">
        <v>1182</v>
      </c>
      <c r="D69" s="12" t="s">
        <v>1183</v>
      </c>
      <c r="E69" s="20">
        <v>1520000</v>
      </c>
    </row>
    <row r="70" ht="15" spans="1:5">
      <c r="A70" s="10">
        <v>66</v>
      </c>
      <c r="B70" s="12" t="s">
        <v>1173</v>
      </c>
      <c r="C70" s="12" t="s">
        <v>1184</v>
      </c>
      <c r="D70" s="12" t="s">
        <v>1184</v>
      </c>
      <c r="E70" s="20">
        <v>168595.78</v>
      </c>
    </row>
    <row r="71" ht="15" spans="1:5">
      <c r="A71" s="10">
        <v>67</v>
      </c>
      <c r="B71" s="12" t="s">
        <v>1093</v>
      </c>
      <c r="C71" s="12" t="s">
        <v>1185</v>
      </c>
      <c r="D71" s="12" t="s">
        <v>1186</v>
      </c>
      <c r="E71" s="20">
        <v>6812.4</v>
      </c>
    </row>
    <row r="72" ht="15" spans="1:5">
      <c r="A72" s="10">
        <v>68</v>
      </c>
      <c r="B72" s="12" t="s">
        <v>1187</v>
      </c>
      <c r="C72" s="12" t="s">
        <v>1188</v>
      </c>
      <c r="D72" s="15" t="s">
        <v>1189</v>
      </c>
      <c r="E72" s="20">
        <v>453935</v>
      </c>
    </row>
    <row r="73" ht="15" spans="1:5">
      <c r="A73" s="10">
        <v>69</v>
      </c>
      <c r="B73" s="12" t="s">
        <v>1190</v>
      </c>
      <c r="C73" s="21" t="s">
        <v>1191</v>
      </c>
      <c r="D73" s="15" t="s">
        <v>1189</v>
      </c>
      <c r="E73" s="20">
        <v>167055</v>
      </c>
    </row>
    <row r="74" ht="15" spans="1:5">
      <c r="A74" s="10">
        <v>70</v>
      </c>
      <c r="B74" s="12" t="s">
        <v>1190</v>
      </c>
      <c r="C74" s="21" t="s">
        <v>1192</v>
      </c>
      <c r="D74" s="15" t="s">
        <v>1189</v>
      </c>
      <c r="E74" s="20">
        <v>1560000</v>
      </c>
    </row>
    <row r="75" ht="15" spans="1:5">
      <c r="A75" s="10">
        <v>71</v>
      </c>
      <c r="B75" s="12" t="s">
        <v>1193</v>
      </c>
      <c r="C75" s="21" t="s">
        <v>1194</v>
      </c>
      <c r="D75" s="15" t="s">
        <v>1189</v>
      </c>
      <c r="E75" s="20">
        <v>63676</v>
      </c>
    </row>
    <row r="76" ht="15" spans="1:5">
      <c r="A76" s="10">
        <v>72</v>
      </c>
      <c r="B76" s="12" t="s">
        <v>1195</v>
      </c>
      <c r="C76" s="21" t="s">
        <v>1196</v>
      </c>
      <c r="D76" s="21" t="s">
        <v>1197</v>
      </c>
      <c r="E76" s="20">
        <v>410790</v>
      </c>
    </row>
    <row r="77" ht="15" spans="1:5">
      <c r="A77" s="10">
        <v>73</v>
      </c>
      <c r="B77" s="12" t="s">
        <v>1195</v>
      </c>
      <c r="C77" s="21" t="s">
        <v>1198</v>
      </c>
      <c r="D77" s="21" t="s">
        <v>1199</v>
      </c>
      <c r="E77" s="20">
        <v>491960</v>
      </c>
    </row>
    <row r="78" ht="15" spans="1:5">
      <c r="A78" s="10">
        <v>74</v>
      </c>
      <c r="B78" s="12" t="s">
        <v>1195</v>
      </c>
      <c r="C78" s="21" t="s">
        <v>1200</v>
      </c>
      <c r="D78" s="21" t="s">
        <v>1201</v>
      </c>
      <c r="E78" s="20">
        <v>47910</v>
      </c>
    </row>
    <row r="79" ht="15" spans="1:5">
      <c r="A79" s="10">
        <v>75</v>
      </c>
      <c r="B79" s="12" t="s">
        <v>1195</v>
      </c>
      <c r="C79" s="21" t="s">
        <v>1202</v>
      </c>
      <c r="D79" s="21" t="s">
        <v>1203</v>
      </c>
      <c r="E79" s="20">
        <v>6500</v>
      </c>
    </row>
    <row r="80" ht="15" spans="1:5">
      <c r="A80" s="10">
        <v>76</v>
      </c>
      <c r="B80" s="12" t="s">
        <v>1195</v>
      </c>
      <c r="C80" s="21" t="s">
        <v>1204</v>
      </c>
      <c r="D80" s="21" t="s">
        <v>1205</v>
      </c>
      <c r="E80" s="20">
        <v>180000</v>
      </c>
    </row>
    <row r="81" ht="24" spans="1:5">
      <c r="A81" s="10">
        <v>77</v>
      </c>
      <c r="B81" s="12" t="s">
        <v>1195</v>
      </c>
      <c r="C81" s="21" t="s">
        <v>1206</v>
      </c>
      <c r="D81" s="21" t="s">
        <v>1207</v>
      </c>
      <c r="E81" s="20">
        <v>105466</v>
      </c>
    </row>
    <row r="82" ht="15" spans="1:5">
      <c r="A82" s="10">
        <v>78</v>
      </c>
      <c r="B82" s="12" t="s">
        <v>1195</v>
      </c>
      <c r="C82" s="21" t="s">
        <v>1208</v>
      </c>
      <c r="D82" s="21" t="s">
        <v>1209</v>
      </c>
      <c r="E82" s="20">
        <v>93012</v>
      </c>
    </row>
    <row r="83" ht="15" spans="1:5">
      <c r="A83" s="10">
        <v>79</v>
      </c>
      <c r="B83" s="12" t="s">
        <v>1195</v>
      </c>
      <c r="C83" s="21" t="s">
        <v>1210</v>
      </c>
      <c r="D83" s="21" t="s">
        <v>1211</v>
      </c>
      <c r="E83" s="20">
        <v>72000</v>
      </c>
    </row>
    <row r="84" ht="15" spans="1:5">
      <c r="A84" s="10">
        <v>80</v>
      </c>
      <c r="B84" s="12" t="s">
        <v>1212</v>
      </c>
      <c r="C84" s="21" t="s">
        <v>1213</v>
      </c>
      <c r="D84" s="21" t="s">
        <v>1214</v>
      </c>
      <c r="E84" s="20">
        <v>441950</v>
      </c>
    </row>
    <row r="85" ht="15" spans="1:5">
      <c r="A85" s="10">
        <v>81</v>
      </c>
      <c r="B85" s="12" t="s">
        <v>1215</v>
      </c>
      <c r="C85" s="21" t="s">
        <v>1137</v>
      </c>
      <c r="D85" s="21" t="s">
        <v>1216</v>
      </c>
      <c r="E85" s="20">
        <v>40000</v>
      </c>
    </row>
    <row r="86" ht="15" spans="1:5">
      <c r="A86" s="10">
        <v>82</v>
      </c>
      <c r="B86" s="12" t="s">
        <v>1217</v>
      </c>
      <c r="C86" s="21" t="s">
        <v>1218</v>
      </c>
      <c r="D86" s="21" t="s">
        <v>1219</v>
      </c>
      <c r="E86" s="20">
        <v>9600</v>
      </c>
    </row>
    <row r="87" ht="15" spans="1:5">
      <c r="A87" s="10">
        <v>83</v>
      </c>
      <c r="B87" s="12" t="s">
        <v>1217</v>
      </c>
      <c r="C87" s="21" t="s">
        <v>1220</v>
      </c>
      <c r="D87" s="21" t="s">
        <v>1221</v>
      </c>
      <c r="E87" s="20">
        <v>200000</v>
      </c>
    </row>
    <row r="88" ht="15" spans="1:5">
      <c r="A88" s="10">
        <v>84</v>
      </c>
      <c r="B88" s="12" t="s">
        <v>1217</v>
      </c>
      <c r="C88" s="21" t="s">
        <v>1222</v>
      </c>
      <c r="D88" s="21" t="s">
        <v>1223</v>
      </c>
      <c r="E88" s="20">
        <v>536630.5</v>
      </c>
    </row>
    <row r="89" ht="15" spans="1:5">
      <c r="A89" s="10">
        <v>85</v>
      </c>
      <c r="B89" s="12" t="s">
        <v>1217</v>
      </c>
      <c r="C89" s="21" t="s">
        <v>1224</v>
      </c>
      <c r="D89" s="21" t="s">
        <v>1225</v>
      </c>
      <c r="E89" s="20">
        <v>160000</v>
      </c>
    </row>
    <row r="90" ht="15" spans="1:5">
      <c r="A90" s="10">
        <v>86</v>
      </c>
      <c r="B90" s="12" t="s">
        <v>1217</v>
      </c>
      <c r="C90" s="21" t="s">
        <v>1226</v>
      </c>
      <c r="D90" s="21" t="s">
        <v>1227</v>
      </c>
      <c r="E90" s="20">
        <v>49107</v>
      </c>
    </row>
    <row r="91" ht="15" spans="1:5">
      <c r="A91" s="10">
        <v>87</v>
      </c>
      <c r="B91" s="12" t="s">
        <v>1217</v>
      </c>
      <c r="C91" s="21" t="s">
        <v>1228</v>
      </c>
      <c r="D91" s="21" t="s">
        <v>1229</v>
      </c>
      <c r="E91" s="20">
        <v>77226.06</v>
      </c>
    </row>
    <row r="92" ht="15" spans="1:5">
      <c r="A92" s="10">
        <v>88</v>
      </c>
      <c r="B92" s="12" t="s">
        <v>1217</v>
      </c>
      <c r="C92" s="21" t="s">
        <v>1230</v>
      </c>
      <c r="D92" s="21" t="s">
        <v>1231</v>
      </c>
      <c r="E92" s="20">
        <v>9774</v>
      </c>
    </row>
    <row r="93" ht="15" spans="1:5">
      <c r="A93" s="10">
        <v>89</v>
      </c>
      <c r="B93" s="12" t="s">
        <v>1217</v>
      </c>
      <c r="C93" s="21" t="s">
        <v>1232</v>
      </c>
      <c r="D93" s="21" t="s">
        <v>1232</v>
      </c>
      <c r="E93" s="20">
        <v>223512</v>
      </c>
    </row>
    <row r="94" ht="15" spans="1:5">
      <c r="A94" s="10">
        <v>90</v>
      </c>
      <c r="B94" s="12" t="s">
        <v>1233</v>
      </c>
      <c r="C94" s="21" t="s">
        <v>1234</v>
      </c>
      <c r="D94" s="21" t="s">
        <v>1235</v>
      </c>
      <c r="E94" s="20">
        <v>164839</v>
      </c>
    </row>
    <row r="95" ht="15" spans="1:5">
      <c r="A95" s="10">
        <v>91</v>
      </c>
      <c r="B95" s="12" t="s">
        <v>1101</v>
      </c>
      <c r="C95" s="21" t="s">
        <v>1236</v>
      </c>
      <c r="D95" s="21" t="s">
        <v>1237</v>
      </c>
      <c r="E95" s="20">
        <v>24643</v>
      </c>
    </row>
    <row r="96" ht="15" spans="1:5">
      <c r="A96" s="10">
        <v>92</v>
      </c>
      <c r="B96" s="12" t="s">
        <v>1101</v>
      </c>
      <c r="C96" s="21" t="s">
        <v>1238</v>
      </c>
      <c r="D96" s="21" t="s">
        <v>1239</v>
      </c>
      <c r="E96" s="20">
        <v>11763.14</v>
      </c>
    </row>
    <row r="97" ht="15" spans="1:5">
      <c r="A97" s="10">
        <v>93</v>
      </c>
      <c r="B97" s="12" t="s">
        <v>1101</v>
      </c>
      <c r="C97" s="21" t="s">
        <v>1240</v>
      </c>
      <c r="D97" s="21" t="s">
        <v>1241</v>
      </c>
      <c r="E97" s="20">
        <v>3450</v>
      </c>
    </row>
    <row r="98" ht="15" spans="1:5">
      <c r="A98" s="10">
        <v>94</v>
      </c>
      <c r="B98" s="12" t="s">
        <v>1101</v>
      </c>
      <c r="C98" s="21" t="s">
        <v>1242</v>
      </c>
      <c r="D98" s="21" t="s">
        <v>1243</v>
      </c>
      <c r="E98" s="20">
        <v>17060</v>
      </c>
    </row>
    <row r="99" ht="15" spans="1:5">
      <c r="A99" s="10">
        <v>95</v>
      </c>
      <c r="B99" s="12" t="s">
        <v>1101</v>
      </c>
      <c r="C99" s="21" t="s">
        <v>1244</v>
      </c>
      <c r="D99" s="21" t="s">
        <v>1245</v>
      </c>
      <c r="E99" s="20">
        <v>20000</v>
      </c>
    </row>
    <row r="100" ht="15" spans="1:5">
      <c r="A100" s="10">
        <v>96</v>
      </c>
      <c r="B100" s="12" t="s">
        <v>1101</v>
      </c>
      <c r="C100" s="21" t="s">
        <v>1246</v>
      </c>
      <c r="D100" s="21" t="s">
        <v>1247</v>
      </c>
      <c r="E100" s="20">
        <v>60000</v>
      </c>
    </row>
    <row r="101" ht="15" spans="1:5">
      <c r="A101" s="10">
        <v>97</v>
      </c>
      <c r="B101" s="12" t="s">
        <v>1101</v>
      </c>
      <c r="C101" s="21" t="s">
        <v>1248</v>
      </c>
      <c r="D101" s="21" t="s">
        <v>1249</v>
      </c>
      <c r="E101" s="20">
        <v>203937.04</v>
      </c>
    </row>
    <row r="102" ht="15" spans="1:5">
      <c r="A102" s="10">
        <v>98</v>
      </c>
      <c r="B102" s="12" t="s">
        <v>1250</v>
      </c>
      <c r="C102" s="21" t="s">
        <v>1251</v>
      </c>
      <c r="D102" s="21" t="s">
        <v>1252</v>
      </c>
      <c r="E102" s="20">
        <v>336571.2</v>
      </c>
    </row>
    <row r="103" ht="15" spans="1:5">
      <c r="A103" s="10">
        <v>99</v>
      </c>
      <c r="B103" s="12" t="s">
        <v>1253</v>
      </c>
      <c r="C103" s="21" t="s">
        <v>1254</v>
      </c>
      <c r="D103" s="21" t="s">
        <v>1255</v>
      </c>
      <c r="E103" s="20">
        <v>6724</v>
      </c>
    </row>
    <row r="104" ht="15" spans="1:5">
      <c r="A104" s="10">
        <v>100</v>
      </c>
      <c r="B104" s="12" t="s">
        <v>1256</v>
      </c>
      <c r="C104" s="21" t="s">
        <v>1257</v>
      </c>
      <c r="D104" s="21" t="s">
        <v>1258</v>
      </c>
      <c r="E104" s="20">
        <v>101600</v>
      </c>
    </row>
    <row r="105" ht="15" spans="1:5">
      <c r="A105" s="10">
        <v>101</v>
      </c>
      <c r="B105" s="12" t="s">
        <v>1256</v>
      </c>
      <c r="C105" s="21" t="s">
        <v>1259</v>
      </c>
      <c r="D105" s="21" t="s">
        <v>1260</v>
      </c>
      <c r="E105" s="20">
        <v>13676</v>
      </c>
    </row>
    <row r="106" ht="15" spans="1:5">
      <c r="A106" s="10">
        <v>102</v>
      </c>
      <c r="B106" s="12" t="s">
        <v>1261</v>
      </c>
      <c r="C106" s="21" t="s">
        <v>1262</v>
      </c>
      <c r="D106" s="21" t="s">
        <v>1263</v>
      </c>
      <c r="E106" s="20">
        <v>6403</v>
      </c>
    </row>
    <row r="107" ht="15" spans="1:5">
      <c r="A107" s="10">
        <v>103</v>
      </c>
      <c r="B107" s="12" t="s">
        <v>1264</v>
      </c>
      <c r="C107" s="21" t="s">
        <v>1265</v>
      </c>
      <c r="D107" s="21" t="s">
        <v>1266</v>
      </c>
      <c r="E107" s="20">
        <v>100000</v>
      </c>
    </row>
    <row r="108" ht="15" spans="1:5">
      <c r="A108" s="10">
        <v>104</v>
      </c>
      <c r="B108" s="12" t="s">
        <v>1267</v>
      </c>
      <c r="C108" s="21" t="s">
        <v>1268</v>
      </c>
      <c r="D108" s="21" t="s">
        <v>1269</v>
      </c>
      <c r="E108" s="20">
        <v>80000</v>
      </c>
    </row>
    <row r="109" ht="15" spans="1:5">
      <c r="A109" s="10">
        <v>105</v>
      </c>
      <c r="B109" s="12" t="s">
        <v>1267</v>
      </c>
      <c r="C109" s="21" t="s">
        <v>1270</v>
      </c>
      <c r="D109" s="21" t="s">
        <v>1271</v>
      </c>
      <c r="E109" s="20">
        <v>16980</v>
      </c>
    </row>
    <row r="110" ht="15" spans="1:5">
      <c r="A110" s="10">
        <v>106</v>
      </c>
      <c r="B110" s="12" t="s">
        <v>1272</v>
      </c>
      <c r="C110" s="21" t="s">
        <v>1273</v>
      </c>
      <c r="D110" s="21" t="s">
        <v>1274</v>
      </c>
      <c r="E110" s="20">
        <v>117521</v>
      </c>
    </row>
    <row r="111" ht="15" spans="1:5">
      <c r="A111" s="10">
        <v>107</v>
      </c>
      <c r="B111" s="12" t="s">
        <v>1275</v>
      </c>
      <c r="C111" s="21" t="s">
        <v>1276</v>
      </c>
      <c r="D111" s="15" t="s">
        <v>1277</v>
      </c>
      <c r="E111" s="20">
        <v>9000</v>
      </c>
    </row>
    <row r="112" ht="15" spans="1:5">
      <c r="A112" s="10">
        <v>108</v>
      </c>
      <c r="B112" s="12" t="s">
        <v>1278</v>
      </c>
      <c r="C112" s="21" t="s">
        <v>1279</v>
      </c>
      <c r="D112" s="21" t="s">
        <v>1280</v>
      </c>
      <c r="E112" s="20">
        <v>40000</v>
      </c>
    </row>
    <row r="113" ht="15" spans="1:5">
      <c r="A113" s="10">
        <v>109</v>
      </c>
      <c r="B113" s="12" t="s">
        <v>1278</v>
      </c>
      <c r="C113" s="21" t="s">
        <v>1281</v>
      </c>
      <c r="D113" s="21" t="s">
        <v>1282</v>
      </c>
      <c r="E113" s="20">
        <v>6000</v>
      </c>
    </row>
    <row r="114" ht="15" spans="1:5">
      <c r="A114" s="10">
        <v>110</v>
      </c>
      <c r="B114" s="12" t="s">
        <v>1049</v>
      </c>
      <c r="C114" s="21" t="s">
        <v>1283</v>
      </c>
      <c r="D114" s="21" t="s">
        <v>1284</v>
      </c>
      <c r="E114" s="20">
        <v>122300</v>
      </c>
    </row>
    <row r="115" ht="15" spans="1:5">
      <c r="A115" s="10">
        <v>111</v>
      </c>
      <c r="B115" s="12" t="s">
        <v>1049</v>
      </c>
      <c r="C115" s="21" t="s">
        <v>1285</v>
      </c>
      <c r="D115" s="21" t="s">
        <v>1286</v>
      </c>
      <c r="E115" s="20">
        <v>557200</v>
      </c>
    </row>
    <row r="116" ht="15" spans="1:5">
      <c r="A116" s="10">
        <v>112</v>
      </c>
      <c r="B116" s="12" t="s">
        <v>1049</v>
      </c>
      <c r="C116" s="21" t="s">
        <v>1287</v>
      </c>
      <c r="D116" s="21" t="s">
        <v>1288</v>
      </c>
      <c r="E116" s="20">
        <v>2584000</v>
      </c>
    </row>
    <row r="117" ht="15" spans="1:5">
      <c r="A117" s="10">
        <v>113</v>
      </c>
      <c r="B117" s="12" t="s">
        <v>1049</v>
      </c>
      <c r="C117" s="21" t="s">
        <v>1289</v>
      </c>
      <c r="D117" s="15" t="s">
        <v>1290</v>
      </c>
      <c r="E117" s="20">
        <v>20000</v>
      </c>
    </row>
    <row r="118" ht="15" spans="1:5">
      <c r="A118" s="10">
        <v>114</v>
      </c>
      <c r="B118" s="12" t="s">
        <v>1049</v>
      </c>
      <c r="C118" s="21" t="s">
        <v>1291</v>
      </c>
      <c r="D118" s="21" t="s">
        <v>1292</v>
      </c>
      <c r="E118" s="20">
        <v>2196480</v>
      </c>
    </row>
    <row r="119" ht="15" spans="1:5">
      <c r="A119" s="10">
        <v>115</v>
      </c>
      <c r="B119" s="12" t="s">
        <v>1049</v>
      </c>
      <c r="C119" s="21" t="s">
        <v>1293</v>
      </c>
      <c r="D119" s="21" t="s">
        <v>1294</v>
      </c>
      <c r="E119" s="20">
        <v>709600</v>
      </c>
    </row>
    <row r="120" ht="15" spans="1:5">
      <c r="A120" s="10">
        <v>116</v>
      </c>
      <c r="B120" s="12" t="s">
        <v>1049</v>
      </c>
      <c r="C120" s="21" t="s">
        <v>1295</v>
      </c>
      <c r="D120" s="21" t="s">
        <v>1296</v>
      </c>
      <c r="E120" s="20">
        <v>40000</v>
      </c>
    </row>
    <row r="121" ht="15" spans="1:5">
      <c r="A121" s="10">
        <v>117</v>
      </c>
      <c r="B121" s="12" t="s">
        <v>1049</v>
      </c>
      <c r="C121" s="21" t="s">
        <v>1297</v>
      </c>
      <c r="D121" s="21" t="s">
        <v>1298</v>
      </c>
      <c r="E121" s="20">
        <v>963600</v>
      </c>
    </row>
    <row r="122" ht="15" spans="1:5">
      <c r="A122" s="10">
        <v>118</v>
      </c>
      <c r="B122" s="12" t="s">
        <v>1049</v>
      </c>
      <c r="C122" s="21" t="s">
        <v>1299</v>
      </c>
      <c r="D122" s="21" t="s">
        <v>1300</v>
      </c>
      <c r="E122" s="20">
        <v>6850</v>
      </c>
    </row>
    <row r="123" ht="15" spans="1:5">
      <c r="A123" s="10">
        <v>119</v>
      </c>
      <c r="B123" s="12" t="s">
        <v>1049</v>
      </c>
      <c r="C123" s="21" t="s">
        <v>1301</v>
      </c>
      <c r="D123" s="21" t="s">
        <v>1302</v>
      </c>
      <c r="E123" s="20">
        <v>53000</v>
      </c>
    </row>
    <row r="124" ht="15" spans="1:5">
      <c r="A124" s="10">
        <v>120</v>
      </c>
      <c r="B124" s="12" t="s">
        <v>1303</v>
      </c>
      <c r="C124" s="21" t="s">
        <v>1304</v>
      </c>
      <c r="D124" s="21" t="s">
        <v>1305</v>
      </c>
      <c r="E124" s="20">
        <v>6408</v>
      </c>
    </row>
    <row r="125" ht="15" spans="1:5">
      <c r="A125" s="10">
        <v>121</v>
      </c>
      <c r="B125" s="12" t="s">
        <v>1306</v>
      </c>
      <c r="C125" s="21" t="s">
        <v>1307</v>
      </c>
      <c r="D125" s="21" t="s">
        <v>1305</v>
      </c>
      <c r="E125" s="20">
        <v>73036</v>
      </c>
    </row>
    <row r="126" ht="15" spans="1:5">
      <c r="A126" s="10">
        <v>122</v>
      </c>
      <c r="B126" s="12" t="s">
        <v>1067</v>
      </c>
      <c r="C126" s="21" t="s">
        <v>1308</v>
      </c>
      <c r="D126" s="21" t="s">
        <v>1309</v>
      </c>
      <c r="E126" s="20">
        <v>202800</v>
      </c>
    </row>
    <row r="127" ht="15" spans="1:5">
      <c r="A127" s="10">
        <v>123</v>
      </c>
      <c r="B127" s="12" t="s">
        <v>1067</v>
      </c>
      <c r="C127" s="21" t="s">
        <v>1310</v>
      </c>
      <c r="D127" s="21" t="s">
        <v>1311</v>
      </c>
      <c r="E127" s="20">
        <v>294500</v>
      </c>
    </row>
    <row r="128" ht="15" spans="1:5">
      <c r="A128" s="10">
        <v>124</v>
      </c>
      <c r="B128" s="12" t="s">
        <v>1067</v>
      </c>
      <c r="C128" s="21" t="s">
        <v>1312</v>
      </c>
      <c r="D128" s="21" t="s">
        <v>1313</v>
      </c>
      <c r="E128" s="20">
        <v>138810</v>
      </c>
    </row>
    <row r="129" ht="15" spans="1:5">
      <c r="A129" s="10">
        <v>125</v>
      </c>
      <c r="B129" s="12" t="s">
        <v>1067</v>
      </c>
      <c r="C129" s="21" t="s">
        <v>1314</v>
      </c>
      <c r="D129" s="21" t="s">
        <v>1315</v>
      </c>
      <c r="E129" s="20">
        <v>135334</v>
      </c>
    </row>
    <row r="130" ht="15" spans="1:5">
      <c r="A130" s="10">
        <v>126</v>
      </c>
      <c r="B130" s="12" t="s">
        <v>1316</v>
      </c>
      <c r="C130" s="21" t="s">
        <v>1137</v>
      </c>
      <c r="D130" s="21" t="s">
        <v>1317</v>
      </c>
      <c r="E130" s="20">
        <v>20000</v>
      </c>
    </row>
    <row r="131" ht="15" spans="1:5">
      <c r="A131" s="10">
        <v>127</v>
      </c>
      <c r="B131" s="12" t="s">
        <v>1077</v>
      </c>
      <c r="C131" s="21" t="s">
        <v>1318</v>
      </c>
      <c r="D131" s="15" t="s">
        <v>1084</v>
      </c>
      <c r="E131" s="20">
        <v>60000</v>
      </c>
    </row>
    <row r="132" ht="15" spans="1:5">
      <c r="A132" s="10">
        <v>128</v>
      </c>
      <c r="B132" s="12" t="s">
        <v>1077</v>
      </c>
      <c r="C132" s="21" t="s">
        <v>1319</v>
      </c>
      <c r="D132" s="15" t="s">
        <v>1320</v>
      </c>
      <c r="E132" s="20">
        <v>81216</v>
      </c>
    </row>
    <row r="133" ht="15" spans="1:5">
      <c r="A133" s="10">
        <v>129</v>
      </c>
      <c r="B133" s="12" t="s">
        <v>1077</v>
      </c>
      <c r="C133" s="21" t="s">
        <v>1321</v>
      </c>
      <c r="D133" s="15" t="s">
        <v>1322</v>
      </c>
      <c r="E133" s="20">
        <v>29832</v>
      </c>
    </row>
    <row r="134" ht="15" spans="1:5">
      <c r="A134" s="10">
        <v>130</v>
      </c>
      <c r="B134" s="12" t="s">
        <v>1077</v>
      </c>
      <c r="C134" s="21" t="s">
        <v>1323</v>
      </c>
      <c r="D134" s="21" t="s">
        <v>1324</v>
      </c>
      <c r="E134" s="20">
        <v>1000000</v>
      </c>
    </row>
    <row r="135" ht="15" spans="1:5">
      <c r="A135" s="10">
        <v>131</v>
      </c>
      <c r="B135" s="12" t="s">
        <v>1077</v>
      </c>
      <c r="C135" s="21" t="s">
        <v>1325</v>
      </c>
      <c r="D135" s="21" t="s">
        <v>1326</v>
      </c>
      <c r="E135" s="20">
        <v>100000</v>
      </c>
    </row>
    <row r="136" ht="15" spans="1:5">
      <c r="A136" s="10">
        <v>132</v>
      </c>
      <c r="B136" s="12" t="s">
        <v>1077</v>
      </c>
      <c r="C136" s="21" t="s">
        <v>1327</v>
      </c>
      <c r="D136" s="21" t="s">
        <v>1328</v>
      </c>
      <c r="E136" s="20">
        <v>153000</v>
      </c>
    </row>
    <row r="137" ht="15" spans="1:5">
      <c r="A137" s="10">
        <v>133</v>
      </c>
      <c r="B137" s="12" t="s">
        <v>1077</v>
      </c>
      <c r="C137" s="21" t="s">
        <v>1137</v>
      </c>
      <c r="D137" s="21" t="s">
        <v>1137</v>
      </c>
      <c r="E137" s="20">
        <v>1200</v>
      </c>
    </row>
    <row r="138" ht="15" spans="1:5">
      <c r="A138" s="10">
        <v>134</v>
      </c>
      <c r="B138" s="12" t="s">
        <v>1077</v>
      </c>
      <c r="C138" s="21" t="s">
        <v>1329</v>
      </c>
      <c r="D138" s="21" t="s">
        <v>1330</v>
      </c>
      <c r="E138" s="20">
        <v>55000</v>
      </c>
    </row>
    <row r="139" ht="15" spans="1:5">
      <c r="A139" s="10">
        <v>135</v>
      </c>
      <c r="B139" s="12" t="s">
        <v>1077</v>
      </c>
      <c r="C139" s="21" t="s">
        <v>1331</v>
      </c>
      <c r="D139" s="21" t="s">
        <v>1332</v>
      </c>
      <c r="E139" s="20">
        <v>3400000</v>
      </c>
    </row>
    <row r="140" ht="15" spans="1:5">
      <c r="A140" s="10">
        <v>136</v>
      </c>
      <c r="B140" s="12" t="s">
        <v>1077</v>
      </c>
      <c r="C140" s="21" t="s">
        <v>1333</v>
      </c>
      <c r="D140" s="21" t="s">
        <v>1334</v>
      </c>
      <c r="E140" s="20">
        <v>1050000</v>
      </c>
    </row>
    <row r="141" ht="15" spans="1:5">
      <c r="A141" s="10">
        <v>137</v>
      </c>
      <c r="B141" s="12" t="s">
        <v>1077</v>
      </c>
      <c r="C141" s="21" t="s">
        <v>1335</v>
      </c>
      <c r="D141" s="21" t="s">
        <v>1336</v>
      </c>
      <c r="E141" s="20">
        <v>23320</v>
      </c>
    </row>
    <row r="142" ht="15" spans="1:5">
      <c r="A142" s="10">
        <v>138</v>
      </c>
      <c r="B142" s="12" t="s">
        <v>1077</v>
      </c>
      <c r="C142" s="21" t="s">
        <v>1337</v>
      </c>
      <c r="D142" s="21" t="s">
        <v>1338</v>
      </c>
      <c r="E142" s="20">
        <v>1512972</v>
      </c>
    </row>
    <row r="143" ht="15" spans="1:5">
      <c r="A143" s="10">
        <v>139</v>
      </c>
      <c r="B143" s="12" t="s">
        <v>1077</v>
      </c>
      <c r="C143" s="21" t="s">
        <v>1339</v>
      </c>
      <c r="D143" s="12" t="s">
        <v>1340</v>
      </c>
      <c r="E143" s="20">
        <v>65677.5</v>
      </c>
    </row>
    <row r="144" ht="15" spans="1:5">
      <c r="A144" s="10">
        <v>140</v>
      </c>
      <c r="B144" s="12" t="s">
        <v>1077</v>
      </c>
      <c r="C144" s="21" t="s">
        <v>1341</v>
      </c>
      <c r="D144" s="12" t="s">
        <v>1069</v>
      </c>
      <c r="E144" s="20">
        <v>719280</v>
      </c>
    </row>
    <row r="145" ht="15" spans="1:5">
      <c r="A145" s="10">
        <v>141</v>
      </c>
      <c r="B145" s="12" t="s">
        <v>1077</v>
      </c>
      <c r="C145" s="21" t="s">
        <v>1342</v>
      </c>
      <c r="D145" s="12" t="s">
        <v>1343</v>
      </c>
      <c r="E145" s="20">
        <v>9888</v>
      </c>
    </row>
    <row r="146" ht="15" spans="1:5">
      <c r="A146" s="10">
        <v>142</v>
      </c>
      <c r="B146" s="22" t="s">
        <v>1344</v>
      </c>
      <c r="C146" s="21" t="s">
        <v>1345</v>
      </c>
      <c r="D146" s="12" t="s">
        <v>1346</v>
      </c>
      <c r="E146" s="20">
        <v>64137.76</v>
      </c>
    </row>
    <row r="147" ht="15" spans="1:5">
      <c r="A147" s="10">
        <v>143</v>
      </c>
      <c r="B147" s="12" t="s">
        <v>1347</v>
      </c>
      <c r="C147" s="21" t="s">
        <v>1348</v>
      </c>
      <c r="D147" s="12" t="s">
        <v>1349</v>
      </c>
      <c r="E147" s="20">
        <v>39160</v>
      </c>
    </row>
    <row r="148" ht="15" spans="1:5">
      <c r="A148" s="10">
        <v>144</v>
      </c>
      <c r="B148" s="12" t="s">
        <v>1347</v>
      </c>
      <c r="C148" s="21" t="s">
        <v>1350</v>
      </c>
      <c r="D148" s="12" t="s">
        <v>1351</v>
      </c>
      <c r="E148" s="20">
        <v>121206</v>
      </c>
    </row>
    <row r="149" ht="36" spans="1:5">
      <c r="A149" s="10">
        <v>145</v>
      </c>
      <c r="B149" s="12" t="s">
        <v>1070</v>
      </c>
      <c r="C149" s="21" t="s">
        <v>1352</v>
      </c>
      <c r="D149" s="15" t="s">
        <v>1353</v>
      </c>
      <c r="E149" s="20">
        <v>27348</v>
      </c>
    </row>
    <row r="150" ht="24" spans="1:5">
      <c r="A150" s="10">
        <v>146</v>
      </c>
      <c r="B150" s="12" t="s">
        <v>1070</v>
      </c>
      <c r="C150" s="21" t="s">
        <v>1354</v>
      </c>
      <c r="D150" s="15" t="s">
        <v>1355</v>
      </c>
      <c r="E150" s="20">
        <v>15000</v>
      </c>
    </row>
    <row r="151" ht="36" spans="1:5">
      <c r="A151" s="10">
        <v>147</v>
      </c>
      <c r="B151" s="12" t="s">
        <v>1070</v>
      </c>
      <c r="C151" s="21" t="s">
        <v>1356</v>
      </c>
      <c r="D151" s="15" t="s">
        <v>1357</v>
      </c>
      <c r="E151" s="20">
        <v>251000</v>
      </c>
    </row>
    <row r="152" ht="15" spans="1:5">
      <c r="A152" s="10">
        <v>148</v>
      </c>
      <c r="B152" s="12" t="s">
        <v>1070</v>
      </c>
      <c r="C152" s="21" t="s">
        <v>1358</v>
      </c>
      <c r="D152" s="12" t="s">
        <v>1359</v>
      </c>
      <c r="E152" s="20">
        <v>226000</v>
      </c>
    </row>
    <row r="153" ht="15" spans="1:5">
      <c r="A153" s="10">
        <v>149</v>
      </c>
      <c r="B153" s="12" t="s">
        <v>1070</v>
      </c>
      <c r="C153" s="21" t="s">
        <v>1360</v>
      </c>
      <c r="D153" s="12" t="s">
        <v>1361</v>
      </c>
      <c r="E153" s="20">
        <v>50000</v>
      </c>
    </row>
    <row r="154" ht="15" spans="1:5">
      <c r="A154" s="10">
        <v>150</v>
      </c>
      <c r="B154" s="12" t="s">
        <v>1106</v>
      </c>
      <c r="C154" s="21" t="s">
        <v>1362</v>
      </c>
      <c r="D154" s="12" t="s">
        <v>1363</v>
      </c>
      <c r="E154" s="20">
        <v>2880</v>
      </c>
    </row>
    <row r="155" ht="15" spans="1:5">
      <c r="A155" s="10">
        <v>151</v>
      </c>
      <c r="B155" s="12" t="s">
        <v>1111</v>
      </c>
      <c r="C155" s="21" t="s">
        <v>1364</v>
      </c>
      <c r="D155" s="12" t="s">
        <v>1365</v>
      </c>
      <c r="E155" s="20">
        <v>6000</v>
      </c>
    </row>
    <row r="156" ht="15" spans="1:5">
      <c r="A156" s="10">
        <v>152</v>
      </c>
      <c r="B156" s="12" t="s">
        <v>1111</v>
      </c>
      <c r="C156" s="21" t="s">
        <v>1366</v>
      </c>
      <c r="D156" s="12" t="s">
        <v>1343</v>
      </c>
      <c r="E156" s="20">
        <v>54700</v>
      </c>
    </row>
    <row r="157" ht="15" spans="1:5">
      <c r="A157" s="10">
        <v>153</v>
      </c>
      <c r="B157" s="12" t="s">
        <v>1367</v>
      </c>
      <c r="C157" s="21" t="s">
        <v>1368</v>
      </c>
      <c r="D157" s="12" t="s">
        <v>1069</v>
      </c>
      <c r="E157" s="20">
        <v>67960</v>
      </c>
    </row>
    <row r="158" ht="15" spans="1:5">
      <c r="A158" s="10">
        <v>154</v>
      </c>
      <c r="B158" s="12" t="s">
        <v>1367</v>
      </c>
      <c r="C158" s="21" t="s">
        <v>1369</v>
      </c>
      <c r="D158" s="12" t="s">
        <v>1370</v>
      </c>
      <c r="E158" s="20">
        <v>845000</v>
      </c>
    </row>
    <row r="159" ht="15" spans="1:5">
      <c r="A159" s="10">
        <v>155</v>
      </c>
      <c r="B159" s="12" t="s">
        <v>1367</v>
      </c>
      <c r="C159" s="21" t="s">
        <v>1371</v>
      </c>
      <c r="D159" s="12" t="s">
        <v>1372</v>
      </c>
      <c r="E159" s="20">
        <v>1448</v>
      </c>
    </row>
    <row r="160" ht="15" spans="1:5">
      <c r="A160" s="10">
        <v>156</v>
      </c>
      <c r="B160" s="12" t="s">
        <v>1373</v>
      </c>
      <c r="C160" s="21" t="s">
        <v>1374</v>
      </c>
      <c r="D160" s="21" t="s">
        <v>1374</v>
      </c>
      <c r="E160" s="20">
        <v>190000</v>
      </c>
    </row>
    <row r="161" ht="15" spans="1:5">
      <c r="A161" s="10">
        <v>157</v>
      </c>
      <c r="B161" s="12" t="s">
        <v>1373</v>
      </c>
      <c r="C161" s="21" t="s">
        <v>1375</v>
      </c>
      <c r="D161" s="21" t="s">
        <v>1376</v>
      </c>
      <c r="E161" s="20">
        <v>76000</v>
      </c>
    </row>
    <row r="162" ht="15" spans="1:5">
      <c r="A162" s="10">
        <v>158</v>
      </c>
      <c r="B162" s="12" t="s">
        <v>1113</v>
      </c>
      <c r="C162" s="21" t="s">
        <v>1377</v>
      </c>
      <c r="D162" s="21" t="s">
        <v>1378</v>
      </c>
      <c r="E162" s="20">
        <v>411900</v>
      </c>
    </row>
    <row r="163" ht="15" spans="1:5">
      <c r="A163" s="10">
        <v>159</v>
      </c>
      <c r="B163" s="12" t="s">
        <v>1113</v>
      </c>
      <c r="C163" s="21" t="s">
        <v>1379</v>
      </c>
      <c r="D163" s="21" t="s">
        <v>1380</v>
      </c>
      <c r="E163" s="20">
        <v>334900</v>
      </c>
    </row>
    <row r="164" ht="15" spans="1:5">
      <c r="A164" s="10">
        <v>160</v>
      </c>
      <c r="B164" s="23" t="s">
        <v>1381</v>
      </c>
      <c r="C164" s="23" t="s">
        <v>1382</v>
      </c>
      <c r="D164" s="23" t="s">
        <v>1383</v>
      </c>
      <c r="E164" s="20">
        <v>1360000</v>
      </c>
    </row>
  </sheetData>
  <autoFilter ref="A4:E164">
    <extLst/>
  </autoFilter>
  <mergeCells count="1">
    <mergeCell ref="A2:E2"/>
  </mergeCells>
  <pageMargins left="0.751388888888889" right="0.751388888888889" top="0.747916666666667" bottom="0.786805555555556" header="0.5" footer="0.786805555555556"/>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本级一般公共预算收</vt:lpstr>
      <vt:lpstr>本级一般公共预算支</vt:lpstr>
      <vt:lpstr>支出经济分类</vt:lpstr>
      <vt:lpstr>本级基金收</vt:lpstr>
      <vt:lpstr>本级基金支</vt:lpstr>
      <vt:lpstr>本级社保收</vt:lpstr>
      <vt:lpstr>本级社保支</vt:lpstr>
      <vt:lpstr>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2022-01-12T12:33:00Z</dcterms:created>
  <dcterms:modified xsi:type="dcterms:W3CDTF">2025-03-21T02:43:08Z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DCD71AAE41F8469A8BF573FC3396031C</vt:lpwstr>
  </property>
  <property fmtid="{D5CDD505-2E9C-101B-9397-08002B2CF9AE}" pid="3" name="KSOProductBuildVer">
    <vt:lpwstr>2052-11.8.2.10972</vt:lpwstr>
  </property>
</Properties>
</file>